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ghnulls.sharepoint.com/sites/AOM/Shared Documents/Marketing/Collateral/KB articles/Cylinder CGH selection/"/>
    </mc:Choice>
  </mc:AlternateContent>
  <xr:revisionPtr revIDLastSave="62" documentId="8_{3D7B0B96-FAEE-460E-8728-08F30CD36428}" xr6:coauthVersionLast="47" xr6:coauthVersionMax="47" xr10:uidLastSave="{2BC61F35-E10F-4E26-9DE8-08692D9E341E}"/>
  <bookViews>
    <workbookView xWindow="-110" yWindow="-110" windowWidth="38620" windowHeight="21100" xr2:uid="{13F781CF-4137-4145-88CA-71B42980FE32}"/>
  </bookViews>
  <sheets>
    <sheet name="CALCULATOR" sheetId="1" r:id="rId1"/>
    <sheet name="Ref" sheetId="2" state="hidden" r:id="rId2"/>
  </sheets>
  <definedNames>
    <definedName name="a">CALCULATOR!$C$15</definedName>
    <definedName name="b">CALCULATOR!$C$16</definedName>
    <definedName name="ROC">CALCULATOR!$C$17</definedName>
    <definedName name="w">CALCULATOR!$C$19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13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29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13" i="1"/>
  <c r="N41" i="1"/>
  <c r="N42" i="1"/>
  <c r="N43" i="1"/>
  <c r="N44" i="1"/>
  <c r="N45" i="1"/>
  <c r="N46" i="1"/>
  <c r="N47" i="1"/>
  <c r="N48" i="1"/>
  <c r="N49" i="1"/>
  <c r="N40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13" i="1"/>
  <c r="B29" i="1"/>
  <c r="P16" i="1" l="1"/>
  <c r="Q16" i="1" s="1"/>
  <c r="P21" i="1"/>
  <c r="Q21" i="1" s="1"/>
  <c r="P38" i="1"/>
  <c r="Q38" i="1" s="1"/>
  <c r="P20" i="1"/>
  <c r="Q20" i="1" s="1"/>
  <c r="P17" i="1"/>
  <c r="Q17" i="1" s="1"/>
  <c r="P39" i="1"/>
  <c r="Q39" i="1" s="1"/>
  <c r="P23" i="1"/>
  <c r="Q23" i="1" s="1"/>
  <c r="P22" i="1"/>
  <c r="Q22" i="1" s="1"/>
  <c r="P40" i="1"/>
  <c r="Q40" i="1" s="1"/>
  <c r="P24" i="1"/>
  <c r="Q24" i="1" s="1"/>
  <c r="P44" i="1"/>
  <c r="Q44" i="1" s="1"/>
  <c r="P28" i="1"/>
  <c r="Q28" i="1" s="1"/>
  <c r="P34" i="1"/>
  <c r="Q34" i="1" s="1"/>
  <c r="P18" i="1"/>
  <c r="Q18" i="1" s="1"/>
  <c r="P33" i="1"/>
  <c r="Q33" i="1" s="1"/>
  <c r="P27" i="1"/>
  <c r="Q27" i="1" s="1"/>
  <c r="P26" i="1"/>
  <c r="Q26" i="1" s="1"/>
  <c r="P37" i="1"/>
  <c r="Q37" i="1" s="1"/>
  <c r="P41" i="1"/>
  <c r="Q41" i="1" s="1"/>
  <c r="P25" i="1"/>
  <c r="Q25" i="1" s="1"/>
  <c r="P36" i="1"/>
  <c r="Q36" i="1" s="1"/>
  <c r="P32" i="1"/>
  <c r="Q32" i="1" s="1"/>
  <c r="P43" i="1"/>
  <c r="Q43" i="1" s="1"/>
  <c r="P42" i="1"/>
  <c r="Q42" i="1" s="1"/>
  <c r="P47" i="1"/>
  <c r="Q47" i="1" s="1"/>
  <c r="P49" i="1"/>
  <c r="Q49" i="1" s="1"/>
  <c r="P48" i="1"/>
  <c r="Q48" i="1" s="1"/>
  <c r="P31" i="1"/>
  <c r="Q31" i="1" s="1"/>
  <c r="P15" i="1"/>
  <c r="Q15" i="1" s="1"/>
  <c r="P46" i="1"/>
  <c r="Q46" i="1" s="1"/>
  <c r="P30" i="1"/>
  <c r="Q30" i="1" s="1"/>
  <c r="P14" i="1"/>
  <c r="Q14" i="1" s="1"/>
  <c r="P45" i="1"/>
  <c r="Q45" i="1" s="1"/>
  <c r="P29" i="1"/>
  <c r="Q29" i="1" s="1"/>
  <c r="P13" i="1"/>
  <c r="P35" i="1"/>
  <c r="Q35" i="1" s="1"/>
  <c r="P19" i="1"/>
  <c r="Q19" i="1" s="1"/>
  <c r="B22" i="1" l="1" a="1"/>
  <c r="B22" i="1" s="1"/>
  <c r="Q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<sst xmlns="http://schemas.openxmlformats.org/spreadsheetml/2006/main" count="164" uniqueCount="90">
  <si>
    <t xml:space="preserve">Instructions:
</t>
  </si>
  <si>
    <t xml:space="preserve">Click here for more information about selecting a cylinder CGH! </t>
  </si>
  <si>
    <t xml:space="preserve">1. Enter your cylinder UUT specifications and test parameters into the blue boxes on the left. </t>
  </si>
  <si>
    <t xml:space="preserve">2. View the Cylinder CGH list on the right: </t>
  </si>
  <si>
    <t xml:space="preserve">Green rows are CGHs that can measure the full aperture of the cylinder and have optimal UUT filling (between 1 and 2). </t>
  </si>
  <si>
    <t>Yellow rows are CGHs that can measure the full aperture of the cylinder and have acceptable UUT filling (between 2 and 4).</t>
  </si>
  <si>
    <t>White rows are CGHs that either cannot measure the full aperture of the UUT or produce excessive overfilling (over 4).</t>
  </si>
  <si>
    <t>If the CGH is compatible with your cylinder, the test spacing is also given.</t>
  </si>
  <si>
    <t>Please note: These CGHs are only compatible with 632.8 nm test wavelength.</t>
  </si>
  <si>
    <t>Requirements</t>
  </si>
  <si>
    <t>Cylinder CGH Selector</t>
  </si>
  <si>
    <t>Model No.</t>
  </si>
  <si>
    <t>Substrate Size</t>
  </si>
  <si>
    <t>Pattern Diameter (mm)</t>
  </si>
  <si>
    <t>Pattern Shape</t>
  </si>
  <si>
    <t>Cylinder f/#</t>
  </si>
  <si>
    <t>Distance to Focus (mm)</t>
  </si>
  <si>
    <t>Does the CGH fill the curved dimension of the UUT?</t>
  </si>
  <si>
    <t>Is there room to fit the UUT? (CX only)</t>
  </si>
  <si>
    <t>Does the CGH fill the plano dimension of the UUT?</t>
  </si>
  <si>
    <t>Is the CGH compatible with the interferometer?</t>
  </si>
  <si>
    <t>Is the CGH able to measure the UUT?</t>
  </si>
  <si>
    <t>CGH-UUT spacing (mm)</t>
  </si>
  <si>
    <t>Where to buy</t>
  </si>
  <si>
    <t>Concave or Convex</t>
  </si>
  <si>
    <t>Concave</t>
  </si>
  <si>
    <t>C2070S</t>
  </si>
  <si>
    <t>2"x2"x0.25"</t>
  </si>
  <si>
    <t>Square</t>
  </si>
  <si>
    <t>2" cylinder CGHs are available ready to ship from Edmund Optics. Order here!</t>
  </si>
  <si>
    <t>Aperture Shape</t>
  </si>
  <si>
    <t>Circular / Eilliptical</t>
  </si>
  <si>
    <t>C2100S</t>
  </si>
  <si>
    <r>
      <t xml:space="preserve">Length </t>
    </r>
    <r>
      <rPr>
        <b/>
        <i/>
        <sz val="11"/>
        <color theme="1"/>
        <rFont val="Trade Gothic Next"/>
        <family val="2"/>
      </rPr>
      <t>a</t>
    </r>
    <r>
      <rPr>
        <b/>
        <sz val="11"/>
        <color theme="1"/>
        <rFont val="Trade Gothic Next"/>
        <family val="2"/>
      </rPr>
      <t xml:space="preserve"> (plano direction) in mm</t>
    </r>
  </si>
  <si>
    <t>C2150S</t>
  </si>
  <si>
    <r>
      <t xml:space="preserve">Length </t>
    </r>
    <r>
      <rPr>
        <b/>
        <i/>
        <sz val="11"/>
        <color theme="1"/>
        <rFont val="Trade Gothic Next"/>
        <family val="2"/>
      </rPr>
      <t>b</t>
    </r>
    <r>
      <rPr>
        <b/>
        <sz val="11"/>
        <color theme="1"/>
        <rFont val="Trade Gothic Next"/>
        <family val="2"/>
      </rPr>
      <t xml:space="preserve"> (curved direction) in mm</t>
    </r>
  </si>
  <si>
    <t>C2200S</t>
  </si>
  <si>
    <t>Radius of Curvature in mm</t>
  </si>
  <si>
    <t>C2300S</t>
  </si>
  <si>
    <t>Interferometer Beam Size</t>
  </si>
  <si>
    <t>4"</t>
  </si>
  <si>
    <t>C2400S</t>
  </si>
  <si>
    <t>Minimum gap between CGH and UUT (mm)</t>
  </si>
  <si>
    <t>C2500S</t>
  </si>
  <si>
    <t>AOM recommends 5 mm</t>
  </si>
  <si>
    <t>C2600S</t>
  </si>
  <si>
    <t>C3070S</t>
  </si>
  <si>
    <t>3"x3"x0.25"</t>
  </si>
  <si>
    <t>3" cylinder CGHs are available ready to ship from AOM. Order here!</t>
  </si>
  <si>
    <t>C3090S</t>
  </si>
  <si>
    <t>C3100S</t>
  </si>
  <si>
    <t>C3150S</t>
  </si>
  <si>
    <t>C3200S</t>
  </si>
  <si>
    <t>C3300S</t>
  </si>
  <si>
    <t>C3400S</t>
  </si>
  <si>
    <t>C3600S</t>
  </si>
  <si>
    <t>C4075C</t>
  </si>
  <si>
    <t>6"x6"x0.25"</t>
  </si>
  <si>
    <t>Circle</t>
  </si>
  <si>
    <t>C4090C</t>
  </si>
  <si>
    <t>C4100C</t>
  </si>
  <si>
    <t>C4150C</t>
  </si>
  <si>
    <t>C4160C</t>
  </si>
  <si>
    <t>C4200C</t>
  </si>
  <si>
    <t>C4300C</t>
  </si>
  <si>
    <t>C4400C</t>
  </si>
  <si>
    <t>C4500C</t>
  </si>
  <si>
    <t>C4550C</t>
  </si>
  <si>
    <t>C4600C</t>
  </si>
  <si>
    <t>C6075C</t>
  </si>
  <si>
    <t>C6100C</t>
  </si>
  <si>
    <t>C6110C</t>
  </si>
  <si>
    <t>C6150C</t>
  </si>
  <si>
    <t>C6160C</t>
  </si>
  <si>
    <t>C6250C</t>
  </si>
  <si>
    <t>C6260C</t>
  </si>
  <si>
    <t>C6300C</t>
  </si>
  <si>
    <t>C6500C</t>
  </si>
  <si>
    <t>C6600C</t>
  </si>
  <si>
    <t>Need more assistance selecting a CGH or ready to place an order? Reach out to AOM!</t>
  </si>
  <si>
    <t>Convex</t>
  </si>
  <si>
    <t>Square / Rectangular</t>
  </si>
  <si>
    <t>Other</t>
  </si>
  <si>
    <t>Reflectivity</t>
  </si>
  <si>
    <t>&gt;40% (e.g., mirror)</t>
  </si>
  <si>
    <t>&lt;40% (e.g., bare glass)</t>
  </si>
  <si>
    <t>Interferometer beam size</t>
  </si>
  <si>
    <t>6"</t>
  </si>
  <si>
    <t>All 4" and 6" cylinder CGHs are available through AOM by custom order. Request a quote here!</t>
  </si>
  <si>
    <t>Filling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</si>
</sst>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ade Gothic Next"/>
      <family val="2"/>
    </font>
    <font>
      <sz val="8"/>
      <color theme="1"/>
      <name val="Trade Gothic Next"/>
      <family val="2"/>
    </font>
    <font>
      <sz val="9"/>
      <color theme="1"/>
      <name val="Trade Gothic Next"/>
      <family val="2"/>
    </font>
    <font>
      <b/>
      <sz val="11"/>
      <color theme="1"/>
      <name val="Trade Gothic Next"/>
      <family val="2"/>
    </font>
    <font>
      <b/>
      <sz val="16"/>
      <color theme="1"/>
      <name val="Trade Gothic Next"/>
      <family val="2"/>
    </font>
    <font>
      <b/>
      <sz val="20"/>
      <color theme="1"/>
      <name val="Trade Gothic Next"/>
      <family val="2"/>
    </font>
    <font>
      <b/>
      <sz val="8"/>
      <name val="Trade Gothic Next"/>
      <family val="2"/>
    </font>
    <font>
      <sz val="11"/>
      <color theme="0" tint="-0.34998626667073579"/>
      <name val="Trade Gothic Next"/>
      <family val="2"/>
    </font>
    <font>
      <b/>
      <sz val="8"/>
      <color rgb="FFFFFFFF"/>
      <name val="Trade Gothic Next"/>
      <family val="2"/>
    </font>
    <font>
      <b/>
      <sz val="8"/>
      <color theme="0"/>
      <name val="Trade Gothic Next"/>
      <family val="2"/>
    </font>
    <font>
      <sz val="8"/>
      <color rgb="FF000000"/>
      <name val="Trade Gothic Next"/>
      <family val="2"/>
    </font>
    <font>
      <b/>
      <sz val="8"/>
      <color rgb="FF000000"/>
      <name val="Trade Gothic Next"/>
      <family val="2"/>
    </font>
    <font>
      <b/>
      <sz val="8"/>
      <color theme="1"/>
      <name val="Trade Gothic Next"/>
      <family val="2"/>
    </font>
    <font>
      <sz val="9"/>
      <color theme="6"/>
      <name val="Trade Gothic Next"/>
      <family val="2"/>
    </font>
    <font>
      <sz val="9"/>
      <color rgb="FF9933FF"/>
      <name val="Trade Gothic Next"/>
      <family val="2"/>
    </font>
    <font>
      <i/>
      <sz val="11"/>
      <color theme="1"/>
      <name val="Trade Gothic Next"/>
      <family val="2"/>
    </font>
    <font>
      <u/>
      <sz val="11"/>
      <color theme="10"/>
      <name val="Calibri"/>
      <family val="2"/>
      <scheme val="minor"/>
    </font>
    <font>
      <sz val="11"/>
      <color theme="0"/>
      <name val="Trade Gothic Next"/>
      <family val="2"/>
    </font>
    <font>
      <b/>
      <sz val="9"/>
      <color theme="0"/>
      <name val="Trade Gothic Next"/>
      <family val="2"/>
    </font>
    <font>
      <i/>
      <sz val="9"/>
      <color theme="1"/>
      <name val="Trade Gothic Next"/>
      <family val="2"/>
    </font>
    <font>
      <b/>
      <sz val="9"/>
      <color theme="1"/>
      <name val="Trade Gothic Next"/>
      <family val="2"/>
    </font>
    <font>
      <b/>
      <i/>
      <sz val="11"/>
      <color theme="1"/>
      <name val="Trade Gothic Next"/>
      <family val="2"/>
    </font>
    <font>
      <b/>
      <sz val="14"/>
      <color theme="1"/>
      <name val="Trade Gothic Next"/>
      <family val="2"/>
    </font>
    <font>
      <b/>
      <sz val="16"/>
      <color rgb="FFC00000"/>
      <name val="Trade Gothic Next"/>
      <family val="2"/>
    </font>
    <font>
      <b/>
      <u/>
      <sz val="20"/>
      <color theme="10"/>
      <name val="Trade Gothic Next"/>
      <family val="2"/>
    </font>
    <font>
      <u/>
      <sz val="11"/>
      <color theme="10"/>
      <name val="Trade Gothic Next"/>
      <family val="2"/>
    </font>
    <font>
      <u/>
      <sz val="24"/>
      <color theme="10"/>
      <name val="Trade Gothic Next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3565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103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5" borderId="0" xfId="0" applyFont="1" applyFill="1" applyAlignment="1">
      <alignment vertical="center"/>
    </xf>
    <xf numFmtId="0" fontId="6" fillId="5" borderId="0" xfId="0" applyFont="1" applyFill="1" applyAlignment="1">
      <alignment horizontal="right" indent="1"/>
    </xf>
    <xf numFmtId="0" fontId="3" fillId="5" borderId="0" xfId="0" applyFont="1" applyFill="1" applyAlignment="1">
      <alignment horizontal="right" indent="1"/>
    </xf>
    <xf numFmtId="0" fontId="9" fillId="5" borderId="0" xfId="0" applyFont="1" applyFill="1" applyAlignment="1">
      <alignment horizontal="right" vertical="center" wrapText="1" indent="1"/>
    </xf>
    <xf numFmtId="0" fontId="10" fillId="5" borderId="0" xfId="0" applyFont="1" applyFill="1" applyAlignment="1">
      <alignment horizontal="right" indent="1"/>
    </xf>
    <xf numFmtId="0" fontId="3" fillId="0" borderId="0" xfId="0" applyFont="1"/>
    <xf numFmtId="0" fontId="3" fillId="5" borderId="0" xfId="0" applyFont="1" applyFill="1"/>
    <xf numFmtId="0" fontId="5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164" fontId="16" fillId="5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4" fillId="0" borderId="0" xfId="0" applyFont="1"/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20" fontId="0" fillId="0" borderId="0" xfId="0" applyNumberFormat="1"/>
    <xf numFmtId="0" fontId="12" fillId="2" borderId="12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8" fillId="5" borderId="0" xfId="0" applyFont="1" applyFill="1"/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5" fillId="5" borderId="0" xfId="0" applyFont="1" applyFill="1" applyAlignment="1">
      <alignment horizontal="left" vertical="top" wrapText="1"/>
    </xf>
    <xf numFmtId="164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9" fontId="3" fillId="0" borderId="0" xfId="1" applyFont="1" applyFill="1" applyBorder="1" applyAlignment="1">
      <alignment horizontal="center"/>
    </xf>
    <xf numFmtId="165" fontId="14" fillId="0" borderId="11" xfId="0" applyNumberFormat="1" applyFont="1" applyBorder="1" applyAlignment="1">
      <alignment horizontal="center" vertical="center" wrapText="1"/>
    </xf>
    <xf numFmtId="165" fontId="14" fillId="0" borderId="7" xfId="0" applyNumberFormat="1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165" fontId="4" fillId="5" borderId="9" xfId="0" applyNumberFormat="1" applyFont="1" applyFill="1" applyBorder="1" applyAlignment="1">
      <alignment horizontal="center" vertical="center"/>
    </xf>
    <xf numFmtId="165" fontId="4" fillId="5" borderId="18" xfId="0" applyNumberFormat="1" applyFont="1" applyFill="1" applyBorder="1" applyAlignment="1">
      <alignment horizontal="center" vertical="center"/>
    </xf>
    <xf numFmtId="165" fontId="4" fillId="5" borderId="19" xfId="0" applyNumberFormat="1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/>
    </xf>
    <xf numFmtId="0" fontId="15" fillId="3" borderId="25" xfId="0" applyFont="1" applyFill="1" applyBorder="1" applyAlignment="1">
      <alignment horizontal="center"/>
    </xf>
    <xf numFmtId="0" fontId="15" fillId="3" borderId="26" xfId="0" applyFont="1" applyFill="1" applyBorder="1" applyAlignment="1">
      <alignment horizontal="center"/>
    </xf>
    <xf numFmtId="0" fontId="15" fillId="3" borderId="31" xfId="0" applyFont="1" applyFill="1" applyBorder="1" applyAlignment="1">
      <alignment horizontal="center"/>
    </xf>
    <xf numFmtId="165" fontId="4" fillId="5" borderId="32" xfId="0" applyNumberFormat="1" applyFont="1" applyFill="1" applyBorder="1" applyAlignment="1">
      <alignment horizontal="center" vertical="center"/>
    </xf>
    <xf numFmtId="0" fontId="12" fillId="6" borderId="12" xfId="0" applyFont="1" applyFill="1" applyBorder="1" applyAlignment="1">
      <alignment horizontal="center" vertical="center" wrapText="1"/>
    </xf>
    <xf numFmtId="0" fontId="21" fillId="7" borderId="27" xfId="0" applyFont="1" applyFill="1" applyBorder="1" applyAlignment="1">
      <alignment horizontal="center" vertical="center"/>
    </xf>
    <xf numFmtId="165" fontId="4" fillId="5" borderId="33" xfId="0" applyNumberFormat="1" applyFont="1" applyFill="1" applyBorder="1" applyAlignment="1">
      <alignment horizontal="center" vertical="center"/>
    </xf>
    <xf numFmtId="165" fontId="4" fillId="5" borderId="34" xfId="0" applyNumberFormat="1" applyFont="1" applyFill="1" applyBorder="1" applyAlignment="1">
      <alignment horizontal="center" vertical="center"/>
    </xf>
    <xf numFmtId="165" fontId="4" fillId="5" borderId="35" xfId="0" applyNumberFormat="1" applyFont="1" applyFill="1" applyBorder="1" applyAlignment="1">
      <alignment horizontal="center" vertical="center"/>
    </xf>
    <xf numFmtId="165" fontId="4" fillId="5" borderId="36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vertical="top" wrapText="1"/>
    </xf>
    <xf numFmtId="0" fontId="5" fillId="8" borderId="38" xfId="0" applyFont="1" applyFill="1" applyBorder="1" applyAlignment="1">
      <alignment horizontal="left" vertical="top" wrapText="1"/>
    </xf>
    <xf numFmtId="0" fontId="5" fillId="9" borderId="38" xfId="0" applyFont="1" applyFill="1" applyBorder="1" applyAlignment="1">
      <alignment horizontal="left" vertical="top" wrapText="1"/>
    </xf>
    <xf numFmtId="0" fontId="5" fillId="5" borderId="38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14" fillId="0" borderId="0" xfId="0" applyNumberFormat="1" applyFont="1" applyAlignment="1">
      <alignment horizontal="center" vertical="center" wrapText="1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27" fillId="0" borderId="0" xfId="2" applyFont="1" applyAlignment="1">
      <alignment horizontal="center"/>
    </xf>
    <xf numFmtId="0" fontId="28" fillId="0" borderId="0" xfId="2" applyFont="1" applyBorder="1" applyAlignment="1">
      <alignment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8" fillId="0" borderId="28" xfId="2" applyFont="1" applyBorder="1" applyAlignment="1">
      <alignment horizontal="center" vertical="center" wrapText="1"/>
    </xf>
    <xf numFmtId="0" fontId="28" fillId="0" borderId="29" xfId="2" applyFont="1" applyBorder="1" applyAlignment="1">
      <alignment horizontal="center" vertical="center" wrapText="1"/>
    </xf>
    <xf numFmtId="0" fontId="28" fillId="0" borderId="5" xfId="2" applyFont="1" applyBorder="1" applyAlignment="1">
      <alignment horizontal="center" vertical="center" wrapText="1"/>
    </xf>
    <xf numFmtId="0" fontId="28" fillId="0" borderId="30" xfId="2" applyFont="1" applyBorder="1" applyAlignment="1">
      <alignment horizontal="center" vertical="center" wrapText="1"/>
    </xf>
    <xf numFmtId="0" fontId="17" fillId="5" borderId="0" xfId="0" applyFont="1" applyFill="1" applyAlignment="1">
      <alignment horizontal="center" wrapText="1"/>
    </xf>
    <xf numFmtId="0" fontId="28" fillId="0" borderId="39" xfId="2" applyFont="1" applyBorder="1" applyAlignment="1">
      <alignment horizontal="center" vertical="center" wrapText="1"/>
    </xf>
    <xf numFmtId="0" fontId="28" fillId="0" borderId="40" xfId="2" applyFont="1" applyBorder="1" applyAlignment="1">
      <alignment horizontal="center" vertical="center" wrapText="1"/>
    </xf>
    <xf numFmtId="0" fontId="28" fillId="0" borderId="41" xfId="2" applyFont="1" applyBorder="1" applyAlignment="1">
      <alignment horizontal="center" vertical="center" wrapText="1"/>
    </xf>
    <xf numFmtId="0" fontId="27" fillId="0" borderId="0" xfId="2" applyFont="1" applyAlignment="1">
      <alignment horizontal="center"/>
    </xf>
    <xf numFmtId="0" fontId="26" fillId="5" borderId="0" xfId="0" applyFont="1" applyFill="1" applyAlignment="1">
      <alignment horizontal="center" vertical="center" wrapText="1"/>
    </xf>
    <xf numFmtId="0" fontId="25" fillId="5" borderId="2" xfId="0" applyFont="1" applyFill="1" applyBorder="1" applyAlignment="1">
      <alignment horizontal="left" vertical="top" wrapText="1"/>
    </xf>
    <xf numFmtId="0" fontId="25" fillId="5" borderId="3" xfId="0" applyFont="1" applyFill="1" applyBorder="1" applyAlignment="1">
      <alignment horizontal="left" vertical="top" wrapText="1"/>
    </xf>
    <xf numFmtId="0" fontId="29" fillId="0" borderId="2" xfId="2" applyFont="1" applyBorder="1" applyAlignment="1">
      <alignment horizontal="center" vertical="center" wrapText="1"/>
    </xf>
    <xf numFmtId="0" fontId="29" fillId="0" borderId="3" xfId="2" applyFont="1" applyBorder="1" applyAlignment="1">
      <alignment horizontal="center" vertical="center" wrapText="1"/>
    </xf>
    <xf numFmtId="0" fontId="29" fillId="0" borderId="37" xfId="2" applyFont="1" applyBorder="1" applyAlignment="1">
      <alignment horizontal="center" vertical="center" wrapText="1"/>
    </xf>
    <xf numFmtId="0" fontId="29" fillId="0" borderId="4" xfId="2" applyFont="1" applyBorder="1" applyAlignment="1">
      <alignment horizontal="center" vertical="center" wrapText="1"/>
    </xf>
    <xf numFmtId="0" fontId="29" fillId="0" borderId="0" xfId="2" applyFont="1" applyBorder="1" applyAlignment="1">
      <alignment horizontal="center" vertical="center" wrapText="1"/>
    </xf>
    <xf numFmtId="0" fontId="29" fillId="0" borderId="5" xfId="2" applyFont="1" applyBorder="1" applyAlignment="1">
      <alignment horizontal="center" vertical="center" wrapText="1"/>
    </xf>
    <xf numFmtId="0" fontId="29" fillId="0" borderId="6" xfId="2" applyFont="1" applyBorder="1" applyAlignment="1">
      <alignment horizontal="center" vertical="center" wrapText="1"/>
    </xf>
    <xf numFmtId="0" fontId="29" fillId="0" borderId="7" xfId="2" applyFont="1" applyBorder="1" applyAlignment="1">
      <alignment horizontal="center" vertical="center" wrapText="1"/>
    </xf>
    <xf numFmtId="0" fontId="29" fillId="0" borderId="8" xfId="2" applyFont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left" wrapText="1"/>
    </xf>
    <xf numFmtId="0" fontId="22" fillId="5" borderId="7" xfId="0" applyFont="1" applyFill="1" applyBorder="1" applyAlignment="1">
      <alignment horizontal="left" wrapText="1"/>
    </xf>
    <xf numFmtId="0" fontId="23" fillId="5" borderId="4" xfId="0" applyFont="1" applyFill="1" applyBorder="1" applyAlignment="1">
      <alignment horizontal="left" vertical="top" wrapText="1"/>
    </xf>
    <xf numFmtId="0" fontId="23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left" vertical="top" wrapText="1"/>
    </xf>
    <xf numFmtId="0" fontId="5" fillId="5" borderId="4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10">
    <dxf>
      <fill>
        <patternFill>
          <bgColor rgb="FF99FF99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C25656"/>
      <color rgb="FF99FF99"/>
      <color rgb="FFB35651"/>
      <color rgb="FF9933FF"/>
      <color rgb="FFFF7C80"/>
      <color rgb="FF9999FF"/>
      <color rgb="FF6699FF"/>
      <color rgb="FFCCCC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119925</xdr:colOff>
      <xdr:row>2</xdr:row>
      <xdr:rowOff>81463</xdr:rowOff>
    </xdr:from>
    <xdr:to>
      <xdr:col>2</xdr:col>
      <xdr:colOff>765800</xdr:colOff>
      <xdr:row>7</xdr:row>
      <xdr:rowOff>72571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5B960F1-D076-44C8-998E-78BF13E17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5996" y="444320"/>
          <a:ext cx="3653598" cy="807537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4</v>
  </rv>
  <rv s="0">
    <v>1</v>
    <v>5</v>
  </rv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771910-6815-4D40-90F4-B9E6724C89F0}" name="Table1" displayName="Table1" ref="B3:B5" totalsRowShown="0" headerRowDxfId="9">
  <autoFilter ref="B3:B5" xr:uid="{4B771910-6815-4D40-90F4-B9E6724C89F0}"/>
  <tableColumns count="1">
    <tableColumn id="1" xr3:uid="{8B32F22F-0202-467F-A64A-28B42586657E}" name="Concave or Convex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18EB4C-5D20-4E2E-81F1-41B1BE2A70EB}" name="Table5" displayName="Table5" ref="B7:B10" totalsRowShown="0">
  <autoFilter ref="B7:B10" xr:uid="{EA18EB4C-5D20-4E2E-81F1-41B1BE2A70EB}"/>
  <tableColumns count="1">
    <tableColumn id="1" xr3:uid="{E277B49F-786C-44A9-97A8-08793CE68FAF}" name="Aperture Shap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8D0BBBF-5CCF-4545-9351-B62043F608BD}" name="Table6" displayName="Table6" ref="B12:B14" totalsRowShown="0" headerRowDxfId="8" dataDxfId="7">
  <autoFilter ref="B12:B14" xr:uid="{B8D0BBBF-5CCF-4545-9351-B62043F608BD}"/>
  <tableColumns count="1">
    <tableColumn id="1" xr3:uid="{5296BB51-F258-4929-9B7E-E3FA6F91A723}" name="Reflectivity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B31E19-84D1-4204-8228-810C6AE3C637}" name="Table63" displayName="Table63" ref="B16:B18" totalsRowShown="0" headerRowDxfId="5" dataDxfId="4">
  <autoFilter ref="B16:B18" xr:uid="{D1B31E19-84D1-4204-8228-810C6AE3C637}"/>
  <tableColumns count="1">
    <tableColumn id="1" xr3:uid="{4A13537D-4288-4803-A7C9-8C90393366AF}" name="Interferometer beam size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om.us/request-a-quote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aom.us/products/cylinder-cghs/" TargetMode="External"/><Relationship Id="rId1" Type="http://schemas.openxmlformats.org/officeDocument/2006/relationships/hyperlink" Target="https://www.edmundoptics.com/f/arizona-optical-metrology-aom-cylinder-computer-generated-holograms-cgh/40007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aom.us/request-a-quote/" TargetMode="External"/><Relationship Id="rId4" Type="http://schemas.openxmlformats.org/officeDocument/2006/relationships/hyperlink" Target="https://aom.us/resources/how-to-choose-the-right-cylinder-cgh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2223A-312B-4853-827B-06F40CCF6FAA}">
  <dimension ref="A1:R62"/>
  <sheetViews>
    <sheetView showGridLines="0" tabSelected="1" zoomScaleNormal="100" workbookViewId="0">
      <selection activeCell="F17" sqref="F17"/>
    </sheetView>
  </sheetViews>
  <sheetFormatPr defaultColWidth="8.7265625" defaultRowHeight="13.5" x14ac:dyDescent="0.25"/>
  <cols>
    <col min="1" max="1" width="1.7265625" style="9" customWidth="1"/>
    <col min="2" max="2" width="43" style="9" customWidth="1"/>
    <col min="3" max="3" width="18.453125" style="18" customWidth="1"/>
    <col min="4" max="4" width="5.54296875" style="9" customWidth="1"/>
    <col min="5" max="5" width="10.7265625" style="2" customWidth="1"/>
    <col min="6" max="6" width="12.26953125" style="2" bestFit="1" customWidth="1"/>
    <col min="7" max="7" width="7.7265625" style="2" bestFit="1" customWidth="1"/>
    <col min="8" max="8" width="6.54296875" style="2" bestFit="1" customWidth="1"/>
    <col min="9" max="9" width="9.453125" style="2" customWidth="1"/>
    <col min="10" max="10" width="10.26953125" style="2" bestFit="1" customWidth="1"/>
    <col min="11" max="11" width="15.453125" style="3" customWidth="1"/>
    <col min="12" max="12" width="13.453125" style="3" customWidth="1"/>
    <col min="13" max="13" width="15.7265625" style="3" customWidth="1"/>
    <col min="14" max="15" width="13.26953125" style="24" customWidth="1"/>
    <col min="16" max="16" width="15.26953125" style="3" customWidth="1"/>
    <col min="17" max="17" width="8.7265625" style="9"/>
    <col min="18" max="18" width="20.7265625" style="9" customWidth="1"/>
    <col min="19" max="16384" width="8.7265625" style="9"/>
  </cols>
  <sheetData>
    <row r="1" spans="1:18" ht="8.15" customHeight="1" thickBot="1" x14ac:dyDescent="0.3"/>
    <row r="2" spans="1:18" ht="20.65" customHeight="1" x14ac:dyDescent="0.25">
      <c r="A2" s="10"/>
      <c r="B2" s="10"/>
      <c r="C2" s="60"/>
      <c r="D2" s="85" t="s">
        <v>0</v>
      </c>
      <c r="E2" s="86"/>
      <c r="F2" s="86"/>
      <c r="G2" s="86"/>
      <c r="H2" s="86"/>
      <c r="I2" s="86"/>
      <c r="J2" s="86"/>
      <c r="K2" s="86"/>
      <c r="L2" s="86"/>
      <c r="M2" s="86"/>
      <c r="N2" s="87" t="s">
        <v>1</v>
      </c>
      <c r="O2" s="88"/>
      <c r="P2" s="88"/>
      <c r="Q2" s="88"/>
      <c r="R2" s="89"/>
    </row>
    <row r="3" spans="1:18" ht="13.15" customHeight="1" x14ac:dyDescent="0.25">
      <c r="A3" s="10"/>
      <c r="B3" s="10"/>
      <c r="C3" s="60"/>
      <c r="D3" s="98" t="s">
        <v>2</v>
      </c>
      <c r="E3" s="99"/>
      <c r="F3" s="99"/>
      <c r="G3" s="99"/>
      <c r="H3" s="99"/>
      <c r="I3" s="99"/>
      <c r="J3" s="99"/>
      <c r="K3" s="99"/>
      <c r="L3" s="99"/>
      <c r="M3" s="99"/>
      <c r="N3" s="90"/>
      <c r="O3" s="91"/>
      <c r="P3" s="91"/>
      <c r="Q3" s="91"/>
      <c r="R3" s="92"/>
    </row>
    <row r="4" spans="1:18" ht="13.15" customHeight="1" x14ac:dyDescent="0.25">
      <c r="A4" s="10"/>
      <c r="B4" s="10"/>
      <c r="C4" s="60"/>
      <c r="D4" s="98" t="s">
        <v>3</v>
      </c>
      <c r="E4" s="99"/>
      <c r="F4" s="99"/>
      <c r="G4" s="99"/>
      <c r="H4" s="99"/>
      <c r="I4" s="99"/>
      <c r="J4" s="99"/>
      <c r="K4" s="99"/>
      <c r="L4" s="99"/>
      <c r="M4" s="99"/>
      <c r="N4" s="90"/>
      <c r="O4" s="91"/>
      <c r="P4" s="91"/>
      <c r="Q4" s="91"/>
      <c r="R4" s="92"/>
    </row>
    <row r="5" spans="1:18" ht="13.15" customHeight="1" x14ac:dyDescent="0.25">
      <c r="A5" s="10"/>
      <c r="B5" s="10"/>
      <c r="C5" s="60"/>
      <c r="D5" s="61"/>
      <c r="E5" s="100" t="s">
        <v>4</v>
      </c>
      <c r="F5" s="100"/>
      <c r="G5" s="100"/>
      <c r="H5" s="100"/>
      <c r="I5" s="100"/>
      <c r="J5" s="100"/>
      <c r="K5" s="100"/>
      <c r="L5" s="100"/>
      <c r="M5" s="100"/>
      <c r="N5" s="90"/>
      <c r="O5" s="91"/>
      <c r="P5" s="91"/>
      <c r="Q5" s="91"/>
      <c r="R5" s="92"/>
    </row>
    <row r="6" spans="1:18" ht="13.15" customHeight="1" x14ac:dyDescent="0.25">
      <c r="A6" s="10"/>
      <c r="B6" s="10"/>
      <c r="C6" s="60"/>
      <c r="D6" s="62"/>
      <c r="E6" s="100" t="s">
        <v>5</v>
      </c>
      <c r="F6" s="100"/>
      <c r="G6" s="100"/>
      <c r="H6" s="100"/>
      <c r="I6" s="100"/>
      <c r="J6" s="100"/>
      <c r="K6" s="100"/>
      <c r="L6" s="100"/>
      <c r="M6" s="100"/>
      <c r="N6" s="90"/>
      <c r="O6" s="91"/>
      <c r="P6" s="91"/>
      <c r="Q6" s="91"/>
      <c r="R6" s="92"/>
    </row>
    <row r="7" spans="1:18" ht="13.15" customHeight="1" x14ac:dyDescent="0.25">
      <c r="A7" s="10"/>
      <c r="B7" s="10"/>
      <c r="C7" s="60"/>
      <c r="D7" s="63"/>
      <c r="E7" s="100" t="s">
        <v>6</v>
      </c>
      <c r="F7" s="100"/>
      <c r="G7" s="100"/>
      <c r="H7" s="100"/>
      <c r="I7" s="100"/>
      <c r="J7" s="100"/>
      <c r="K7" s="100"/>
      <c r="L7" s="100"/>
      <c r="M7" s="100"/>
      <c r="N7" s="90"/>
      <c r="O7" s="91"/>
      <c r="P7" s="91"/>
      <c r="Q7" s="91"/>
      <c r="R7" s="92"/>
    </row>
    <row r="8" spans="1:18" ht="13.15" customHeight="1" x14ac:dyDescent="0.25">
      <c r="A8" s="10"/>
      <c r="B8" s="10"/>
      <c r="C8" s="60"/>
      <c r="D8" s="101" t="s">
        <v>7</v>
      </c>
      <c r="E8" s="100"/>
      <c r="F8" s="100"/>
      <c r="G8" s="100"/>
      <c r="H8" s="100"/>
      <c r="I8" s="100"/>
      <c r="J8" s="100"/>
      <c r="K8" s="100"/>
      <c r="L8" s="100"/>
      <c r="M8" s="100"/>
      <c r="N8" s="90"/>
      <c r="O8" s="91"/>
      <c r="P8" s="91"/>
      <c r="Q8" s="91"/>
      <c r="R8" s="92"/>
    </row>
    <row r="9" spans="1:18" ht="23.65" customHeight="1" thickBot="1" x14ac:dyDescent="0.3">
      <c r="A9" s="10"/>
      <c r="B9" s="10"/>
      <c r="C9" s="60"/>
      <c r="D9" s="96" t="s">
        <v>8</v>
      </c>
      <c r="E9" s="97"/>
      <c r="F9" s="97"/>
      <c r="G9" s="97"/>
      <c r="H9" s="97"/>
      <c r="I9" s="97"/>
      <c r="J9" s="97"/>
      <c r="K9" s="97"/>
      <c r="L9" s="97"/>
      <c r="M9" s="97"/>
      <c r="N9" s="93"/>
      <c r="O9" s="94"/>
      <c r="P9" s="94"/>
      <c r="Q9" s="94"/>
      <c r="R9" s="95"/>
    </row>
    <row r="10" spans="1:18" ht="13.15" customHeight="1" thickBot="1" x14ac:dyDescent="0.3">
      <c r="A10" s="10"/>
      <c r="B10" s="10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Q10" s="10"/>
    </row>
    <row r="11" spans="1:18" ht="19.5" customHeight="1" thickBot="1" x14ac:dyDescent="0.3">
      <c r="A11" s="10"/>
      <c r="B11" s="10"/>
      <c r="C11" s="11"/>
      <c r="D11" s="10"/>
      <c r="E11" s="37"/>
      <c r="F11" s="37"/>
      <c r="G11" s="37"/>
      <c r="H11" s="37"/>
      <c r="I11" s="37"/>
      <c r="J11" s="37"/>
      <c r="K11" s="71" t="s">
        <v>9</v>
      </c>
      <c r="L11" s="72"/>
      <c r="M11" s="72"/>
      <c r="N11" s="72"/>
      <c r="O11" s="72"/>
      <c r="P11" s="73"/>
      <c r="Q11" s="10"/>
    </row>
    <row r="12" spans="1:18" ht="51" customHeight="1" x14ac:dyDescent="0.25">
      <c r="A12" s="10"/>
      <c r="B12" s="4" t="s">
        <v>10</v>
      </c>
      <c r="C12" s="11"/>
      <c r="D12" s="10"/>
      <c r="E12" s="44" t="s">
        <v>11</v>
      </c>
      <c r="F12" s="43" t="s">
        <v>12</v>
      </c>
      <c r="G12" s="43" t="s">
        <v>13</v>
      </c>
      <c r="H12" s="43" t="s">
        <v>14</v>
      </c>
      <c r="I12" s="43" t="s">
        <v>15</v>
      </c>
      <c r="J12" s="43" t="s">
        <v>16</v>
      </c>
      <c r="K12" s="30" t="s">
        <v>17</v>
      </c>
      <c r="L12" s="13" t="s">
        <v>18</v>
      </c>
      <c r="M12" s="13" t="s">
        <v>19</v>
      </c>
      <c r="N12" s="13" t="s">
        <v>20</v>
      </c>
      <c r="O12" s="13" t="s">
        <v>89</v>
      </c>
      <c r="P12" s="48" t="s">
        <v>21</v>
      </c>
      <c r="Q12" s="54" t="s">
        <v>22</v>
      </c>
      <c r="R12" s="55" t="s">
        <v>23</v>
      </c>
    </row>
    <row r="13" spans="1:18" x14ac:dyDescent="0.25">
      <c r="A13" s="10"/>
      <c r="B13" s="5" t="s">
        <v>24</v>
      </c>
      <c r="C13" s="68" t="s">
        <v>25</v>
      </c>
      <c r="D13" s="10"/>
      <c r="E13" s="14" t="s">
        <v>26</v>
      </c>
      <c r="F13" s="65" t="s">
        <v>27</v>
      </c>
      <c r="G13" s="66">
        <v>38</v>
      </c>
      <c r="H13" s="65" t="s">
        <v>28</v>
      </c>
      <c r="I13" s="65">
        <v>0.7</v>
      </c>
      <c r="J13" s="67">
        <v>18.600000000000001</v>
      </c>
      <c r="K13" s="35" t="str">
        <f>IF(OR(ISBLANK(a),ISBLANK(b),ISBLANK(ROC)),"",IF(I13&lt;=ABS(ROC)/b,"Yes","No"))</f>
        <v/>
      </c>
      <c r="L13" s="36" t="str">
        <f>IF(OR(ISBLANK(a),ISBLANK(b),ISBLANK(ROC)),"",IF($C$13=Ref!$B$4,"N/A",IF(J13&gt;ABS(ROC)+w,"Yes","No")))</f>
        <v/>
      </c>
      <c r="M13" s="36" t="str">
        <f t="shared" ref="M13:M28" si="0">IF(OR(ISBLANK(a),ISBLANK(b),ISBLANK(ROC)),"",IF(a&lt;=G13,"Yes","No"))</f>
        <v/>
      </c>
      <c r="N13" s="36" t="str">
        <f>IF(OR(ISBLANK(a),ISBLANK(b),ISBLANK(ROC)),"",IF($C$18=Ref!$B$17,"Yes",IF($C$18=Ref!$B$18,"Yes")))</f>
        <v/>
      </c>
      <c r="O13" s="56" t="str">
        <f t="shared" ref="O13:O49" si="1">IF(OR(ISBLANK(a),ISBLANK(b),ISBLANK(ROC)),"",SQRT(4*(ROC/b)^2-1)/SQRT(4*I13^2-1))</f>
        <v/>
      </c>
      <c r="P13" s="49" t="str">
        <f t="shared" ref="P13:P49" si="2">IF(OR(ISBLANK(a),ISBLANK(b),ISBLANK(ROC)),"",IF(AND(K13="Yes",OR(L13="Yes",L13="N/A"),M13="Yes",N13="Yes",O13&gt;=1,O13&lt;=4),"Yes","No"))</f>
        <v/>
      </c>
      <c r="Q13" s="45" t="str">
        <f>IF(P13="Yes",IF($C$13=Ref!$B$4,J13+ABS(ROC),IF($C$13=Ref!$B$5,J13-ABS(ROC))),"")</f>
        <v/>
      </c>
      <c r="R13" s="75" t="s">
        <v>29</v>
      </c>
    </row>
    <row r="14" spans="1:18" x14ac:dyDescent="0.25">
      <c r="A14" s="10"/>
      <c r="B14" s="5" t="s">
        <v>30</v>
      </c>
      <c r="C14" s="68" t="s">
        <v>31</v>
      </c>
      <c r="D14" s="10"/>
      <c r="E14" s="14" t="s">
        <v>32</v>
      </c>
      <c r="F14" s="65" t="s">
        <v>27</v>
      </c>
      <c r="G14" s="66">
        <v>38</v>
      </c>
      <c r="H14" s="65" t="s">
        <v>28</v>
      </c>
      <c r="I14" s="65">
        <v>1</v>
      </c>
      <c r="J14" s="67">
        <v>32.9</v>
      </c>
      <c r="K14" s="31" t="str">
        <f>IF(OR(ISBLANK(a),ISBLANK(b),ISBLANK(ROC)),"",IF(I14&lt;=ABS(ROC)/b,"Yes","No"))</f>
        <v/>
      </c>
      <c r="L14" s="3" t="str">
        <f>IF(OR(ISBLANK(a),ISBLANK(b),ISBLANK(ROC)),"",IF($C$13=Ref!$B$4,"N/A",IF(J14&gt;ABS(ROC)+w,"Yes","No")))</f>
        <v/>
      </c>
      <c r="M14" s="3" t="str">
        <f t="shared" si="0"/>
        <v/>
      </c>
      <c r="N14" s="3" t="str">
        <f>IF(OR(ISBLANK(a),ISBLANK(b),ISBLANK(ROC)),"",IF($C$18=Ref!$B$17,"Yes",IF($C$18=Ref!$B$18,"Yes")))</f>
        <v/>
      </c>
      <c r="O14" s="57" t="str">
        <f t="shared" si="1"/>
        <v/>
      </c>
      <c r="P14" s="50" t="str">
        <f t="shared" si="2"/>
        <v/>
      </c>
      <c r="Q14" s="46" t="str">
        <f>IF(P14="Yes",IF($C$13=Ref!$B$4,J14+ABS(ROC),IF($C$13=Ref!$B$5,J14-ABS(ROC))),"")</f>
        <v/>
      </c>
      <c r="R14" s="75"/>
    </row>
    <row r="15" spans="1:18" x14ac:dyDescent="0.25">
      <c r="A15" s="10"/>
      <c r="B15" s="5" t="s">
        <v>33</v>
      </c>
      <c r="C15" s="68"/>
      <c r="D15" s="34"/>
      <c r="E15" s="14" t="s">
        <v>34</v>
      </c>
      <c r="F15" s="65" t="s">
        <v>27</v>
      </c>
      <c r="G15" s="66">
        <v>38</v>
      </c>
      <c r="H15" s="65" t="s">
        <v>28</v>
      </c>
      <c r="I15" s="65">
        <v>1.5</v>
      </c>
      <c r="J15" s="67">
        <v>53.7</v>
      </c>
      <c r="K15" s="31" t="str">
        <f>IF(OR(ISBLANK(a),ISBLANK(b),ISBLANK(ROC)),"",IF(I15&lt;=ABS(ROC)/b,"Yes","No"))</f>
        <v/>
      </c>
      <c r="L15" s="3" t="str">
        <f>IF(OR(ISBLANK(a),ISBLANK(b),ISBLANK(ROC)),"",IF($C$13=Ref!$B$4,"N/A",IF(J15&gt;ABS(ROC)+w,"Yes","No")))</f>
        <v/>
      </c>
      <c r="M15" s="3" t="str">
        <f t="shared" si="0"/>
        <v/>
      </c>
      <c r="N15" s="3" t="str">
        <f>IF(OR(ISBLANK(a),ISBLANK(b),ISBLANK(ROC)),"",IF($C$18=Ref!$B$17,"Yes",IF($C$18=Ref!$B$18,"Yes")))</f>
        <v/>
      </c>
      <c r="O15" s="57" t="str">
        <f t="shared" si="1"/>
        <v/>
      </c>
      <c r="P15" s="50" t="str">
        <f t="shared" si="2"/>
        <v/>
      </c>
      <c r="Q15" s="46" t="str">
        <f>IF(P15="Yes",IF($C$13=Ref!$B$4,J15+ABS(ROC),IF($C$13=Ref!$B$5,J15-ABS(ROC))),"")</f>
        <v/>
      </c>
      <c r="R15" s="75"/>
    </row>
    <row r="16" spans="1:18" x14ac:dyDescent="0.25">
      <c r="A16" s="10"/>
      <c r="B16" s="5" t="s">
        <v>35</v>
      </c>
      <c r="C16" s="68"/>
      <c r="D16" s="10"/>
      <c r="E16" s="14" t="s">
        <v>36</v>
      </c>
      <c r="F16" s="65" t="s">
        <v>27</v>
      </c>
      <c r="G16" s="66">
        <v>38</v>
      </c>
      <c r="H16" s="65" t="s">
        <v>28</v>
      </c>
      <c r="I16" s="65">
        <v>2</v>
      </c>
      <c r="J16" s="67">
        <v>73.599999999999994</v>
      </c>
      <c r="K16" s="31" t="str">
        <f>IF(OR(ISBLANK(a),ISBLANK(b),ISBLANK(ROC)),"",IF(I16&lt;=ABS(ROC)/b,"Yes","No"))</f>
        <v/>
      </c>
      <c r="L16" s="3" t="str">
        <f>IF(OR(ISBLANK(a),ISBLANK(b),ISBLANK(ROC)),"",IF($C$13=Ref!$B$4,"N/A",IF(J16&gt;ABS(ROC)+w,"Yes","No")))</f>
        <v/>
      </c>
      <c r="M16" s="3" t="str">
        <f t="shared" si="0"/>
        <v/>
      </c>
      <c r="N16" s="3" t="str">
        <f>IF(OR(ISBLANK(a),ISBLANK(b),ISBLANK(ROC)),"",IF($C$18=Ref!$B$17,"Yes",IF($C$18=Ref!$B$18,"Yes")))</f>
        <v/>
      </c>
      <c r="O16" s="57" t="str">
        <f t="shared" si="1"/>
        <v/>
      </c>
      <c r="P16" s="50" t="str">
        <f t="shared" si="2"/>
        <v/>
      </c>
      <c r="Q16" s="46" t="str">
        <f>IF(P16="Yes",IF($C$13=Ref!$B$4,J16+ABS(ROC),IF($C$13=Ref!$B$5,J16-ABS(ROC))),"")</f>
        <v/>
      </c>
      <c r="R16" s="75"/>
    </row>
    <row r="17" spans="1:18" x14ac:dyDescent="0.25">
      <c r="A17" s="10"/>
      <c r="B17" s="5" t="s">
        <v>37</v>
      </c>
      <c r="C17" s="68"/>
      <c r="D17" s="10"/>
      <c r="E17" s="14" t="s">
        <v>38</v>
      </c>
      <c r="F17" s="65" t="s">
        <v>27</v>
      </c>
      <c r="G17" s="66">
        <v>38</v>
      </c>
      <c r="H17" s="65" t="s">
        <v>28</v>
      </c>
      <c r="I17" s="65">
        <v>3</v>
      </c>
      <c r="J17" s="67">
        <v>112.4</v>
      </c>
      <c r="K17" s="31" t="str">
        <f>IF(OR(ISBLANK(a),ISBLANK(b),ISBLANK(ROC)),"",IF(I17&lt;=ABS(ROC)/b,"Yes","No"))</f>
        <v/>
      </c>
      <c r="L17" s="3" t="str">
        <f>IF(OR(ISBLANK(a),ISBLANK(b),ISBLANK(ROC)),"",IF($C$13=Ref!$B$4,"N/A",IF(J17&gt;ABS(ROC)+w,"Yes","No")))</f>
        <v/>
      </c>
      <c r="M17" s="3" t="str">
        <f t="shared" si="0"/>
        <v/>
      </c>
      <c r="N17" s="3" t="str">
        <f>IF(OR(ISBLANK(a),ISBLANK(b),ISBLANK(ROC)),"",IF($C$18=Ref!$B$17,"Yes",IF($C$18=Ref!$B$18,"Yes")))</f>
        <v/>
      </c>
      <c r="O17" s="57" t="str">
        <f t="shared" si="1"/>
        <v/>
      </c>
      <c r="P17" s="50" t="str">
        <f t="shared" si="2"/>
        <v/>
      </c>
      <c r="Q17" s="46" t="str">
        <f>IF(P17="Yes",IF($C$13=Ref!$B$4,J17+ABS(ROC),IF($C$13=Ref!$B$5,J17-ABS(ROC))),"")</f>
        <v/>
      </c>
      <c r="R17" s="75"/>
    </row>
    <row r="18" spans="1:18" x14ac:dyDescent="0.25">
      <c r="A18" s="10"/>
      <c r="B18" s="5" t="s">
        <v>39</v>
      </c>
      <c r="C18" s="68" t="s">
        <v>40</v>
      </c>
      <c r="D18" s="10"/>
      <c r="E18" s="14" t="s">
        <v>41</v>
      </c>
      <c r="F18" s="65" t="s">
        <v>27</v>
      </c>
      <c r="G18" s="66">
        <v>38</v>
      </c>
      <c r="H18" s="65" t="s">
        <v>28</v>
      </c>
      <c r="I18" s="65">
        <v>4</v>
      </c>
      <c r="J18" s="67">
        <v>150.80000000000001</v>
      </c>
      <c r="K18" s="31" t="str">
        <f>IF(OR(ISBLANK(a),ISBLANK(b),ISBLANK(ROC)),"",IF(I18&lt;=ABS(ROC)/b,"Yes","No"))</f>
        <v/>
      </c>
      <c r="L18" s="3" t="str">
        <f>IF(OR(ISBLANK(a),ISBLANK(b),ISBLANK(ROC)),"",IF($C$13=Ref!$B$4,"N/A",IF(J18&gt;ABS(ROC)+w,"Yes","No")))</f>
        <v/>
      </c>
      <c r="M18" s="3" t="str">
        <f t="shared" si="0"/>
        <v/>
      </c>
      <c r="N18" s="3" t="str">
        <f>IF(OR(ISBLANK(a),ISBLANK(b),ISBLANK(ROC)),"",IF($C$18=Ref!$B$17,"Yes",IF($C$18=Ref!$B$18,"Yes")))</f>
        <v/>
      </c>
      <c r="O18" s="57" t="str">
        <f t="shared" si="1"/>
        <v/>
      </c>
      <c r="P18" s="50" t="str">
        <f t="shared" si="2"/>
        <v/>
      </c>
      <c r="Q18" s="46" t="str">
        <f>IF(P18="Yes",IF($C$13=Ref!$B$4,J18+ABS(ROC),IF($C$13=Ref!$B$5,J18-ABS(ROC))),"")</f>
        <v/>
      </c>
      <c r="R18" s="75"/>
    </row>
    <row r="19" spans="1:18" x14ac:dyDescent="0.25">
      <c r="A19" s="10"/>
      <c r="B19" s="5" t="s">
        <v>42</v>
      </c>
      <c r="C19" s="15">
        <v>5</v>
      </c>
      <c r="D19" s="10"/>
      <c r="E19" s="14" t="s">
        <v>43</v>
      </c>
      <c r="F19" s="65" t="s">
        <v>27</v>
      </c>
      <c r="G19" s="66">
        <v>38</v>
      </c>
      <c r="H19" s="65" t="s">
        <v>28</v>
      </c>
      <c r="I19" s="65">
        <v>5</v>
      </c>
      <c r="J19" s="67">
        <v>189</v>
      </c>
      <c r="K19" s="31" t="str">
        <f>IF(OR(ISBLANK(a),ISBLANK(b),ISBLANK(ROC)),"",IF(I19&lt;=ABS(ROC)/b,"Yes","No"))</f>
        <v/>
      </c>
      <c r="L19" s="3" t="str">
        <f>IF(OR(ISBLANK(a),ISBLANK(b),ISBLANK(ROC)),"",IF($C$13=Ref!$B$4,"N/A",IF(J19&gt;ABS(ROC)+w,"Yes","No")))</f>
        <v/>
      </c>
      <c r="M19" s="3" t="str">
        <f t="shared" si="0"/>
        <v/>
      </c>
      <c r="N19" s="3" t="str">
        <f>IF(OR(ISBLANK(a),ISBLANK(b),ISBLANK(ROC)),"",IF($C$18=Ref!$B$17,"Yes",IF($C$18=Ref!$B$18,"Yes")))</f>
        <v/>
      </c>
      <c r="O19" s="57" t="str">
        <f t="shared" si="1"/>
        <v/>
      </c>
      <c r="P19" s="50" t="str">
        <f t="shared" si="2"/>
        <v/>
      </c>
      <c r="Q19" s="46" t="str">
        <f>IF(P19="Yes",IF($C$13=Ref!$B$4,J19+ABS(ROC),IF($C$13=Ref!$B$5,J19-ABS(ROC))),"")</f>
        <v/>
      </c>
      <c r="R19" s="75"/>
    </row>
    <row r="20" spans="1:18" x14ac:dyDescent="0.25">
      <c r="A20" s="10"/>
      <c r="B20" s="7" t="s">
        <v>44</v>
      </c>
      <c r="C20" s="16"/>
      <c r="D20" s="10"/>
      <c r="E20" s="25" t="s">
        <v>45</v>
      </c>
      <c r="F20" s="26" t="s">
        <v>27</v>
      </c>
      <c r="G20" s="27">
        <v>38</v>
      </c>
      <c r="H20" s="26" t="s">
        <v>28</v>
      </c>
      <c r="I20" s="26">
        <v>6</v>
      </c>
      <c r="J20" s="41">
        <v>227.2</v>
      </c>
      <c r="K20" s="32" t="str">
        <f>IF(OR(ISBLANK(a),ISBLANK(b),ISBLANK(ROC)),"",IF(I20&lt;=ABS(ROC)/b,"Yes","No"))</f>
        <v/>
      </c>
      <c r="L20" s="28" t="str">
        <f>IF(OR(ISBLANK(a),ISBLANK(b),ISBLANK(ROC)),"",IF($C$13=Ref!$B$4,"N/A",IF(J20&gt;ABS(ROC)+w,"Yes","No")))</f>
        <v/>
      </c>
      <c r="M20" s="28" t="str">
        <f t="shared" si="0"/>
        <v/>
      </c>
      <c r="N20" s="28" t="str">
        <f>IF(OR(ISBLANK(a),ISBLANK(b),ISBLANK(ROC)),"",IF($C$18=Ref!$B$17,"Yes",IF($C$18=Ref!$B$18,"Yes")))</f>
        <v/>
      </c>
      <c r="O20" s="57" t="str">
        <f t="shared" si="1"/>
        <v/>
      </c>
      <c r="P20" s="51" t="str">
        <f t="shared" si="2"/>
        <v/>
      </c>
      <c r="Q20" s="47" t="str">
        <f>IF(P20="Yes",IF($C$13=Ref!$B$4,J20+ABS(ROC),IF($C$13=Ref!$B$5,J20-ABS(ROC))),"")</f>
        <v/>
      </c>
      <c r="R20" s="75"/>
    </row>
    <row r="21" spans="1:18" x14ac:dyDescent="0.25">
      <c r="A21" s="10"/>
      <c r="B21" s="6"/>
      <c r="C21" s="16"/>
      <c r="D21" s="10"/>
      <c r="E21" s="14" t="s">
        <v>46</v>
      </c>
      <c r="F21" s="65" t="s">
        <v>47</v>
      </c>
      <c r="G21" s="66">
        <v>60</v>
      </c>
      <c r="H21" s="65" t="s">
        <v>28</v>
      </c>
      <c r="I21" s="65">
        <v>0.7</v>
      </c>
      <c r="J21" s="67">
        <v>29.4</v>
      </c>
      <c r="K21" s="35" t="str">
        <f>IF(OR(ISBLANK(a),ISBLANK(b),ISBLANK(ROC)),"",IF(I21&lt;=ABS(ROC)/b,"Yes","No"))</f>
        <v/>
      </c>
      <c r="L21" s="36" t="str">
        <f>IF(OR(ISBLANK(a),ISBLANK(b),ISBLANK(ROC)),"",IF($C$13=Ref!$B$4,"N/A",IF(J21&gt;ABS(ROC)+w,"Yes","No")))</f>
        <v/>
      </c>
      <c r="M21" s="36" t="str">
        <f t="shared" si="0"/>
        <v/>
      </c>
      <c r="N21" s="36" t="str">
        <f>IF(OR(ISBLANK(a),ISBLANK(b),ISBLANK(ROC)),"",IF($C$18=Ref!$B$17,"Yes",IF($C$18=Ref!$B$18,"Yes")))</f>
        <v/>
      </c>
      <c r="O21" s="56" t="str">
        <f t="shared" si="1"/>
        <v/>
      </c>
      <c r="P21" s="49" t="str">
        <f t="shared" si="2"/>
        <v/>
      </c>
      <c r="Q21" s="45" t="str">
        <f>IF(P21="Yes",IF($C$13=Ref!$B$4,J21+ABS(ROC),IF($C$13=Ref!$B$5,J21-ABS(ROC))),"")</f>
        <v/>
      </c>
      <c r="R21" s="76" t="s">
        <v>48</v>
      </c>
    </row>
    <row r="22" spans="1:18" ht="14.65" customHeight="1" x14ac:dyDescent="0.25">
      <c r="A22" s="10"/>
      <c r="B22" s="84" t="str" cm="1">
        <f t="array" ref="B22">IF(ABS(ROC)&lt;b/2,"Invalid cylinder definition. Check the cylinder paramaters.",IF(AND(P13:P49="No",NOT(ISBLANK(a)),NOT(ISBLANK(b)),NOT(ISBLANK(ROC))),"Our predesigned cylinder CGHs won't meet the needs of your application. Contact AOM for a custom metrology solution!",""))</f>
        <v/>
      </c>
      <c r="C22" s="84"/>
      <c r="D22" s="10"/>
      <c r="E22" s="14" t="s">
        <v>49</v>
      </c>
      <c r="F22" s="65" t="s">
        <v>47</v>
      </c>
      <c r="G22" s="66">
        <v>60</v>
      </c>
      <c r="H22" s="65" t="s">
        <v>28</v>
      </c>
      <c r="I22" s="65">
        <v>0.9</v>
      </c>
      <c r="J22" s="67">
        <v>44.9</v>
      </c>
      <c r="K22" s="31" t="str">
        <f>IF(OR(ISBLANK(a),ISBLANK(b),ISBLANK(ROC)),"",IF(I22&lt;=ABS(ROC)/b,"Yes","No"))</f>
        <v/>
      </c>
      <c r="L22" s="3" t="str">
        <f>IF(OR(ISBLANK(a),ISBLANK(b),ISBLANK(ROC)),"",IF($C$13=Ref!$B$4,"N/A",IF(J22&gt;ABS(ROC)+w,"Yes","No")))</f>
        <v/>
      </c>
      <c r="M22" s="3" t="str">
        <f t="shared" si="0"/>
        <v/>
      </c>
      <c r="N22" s="3" t="str">
        <f>IF(OR(ISBLANK(a),ISBLANK(b),ISBLANK(ROC)),"",IF($C$18=Ref!$B$17,"Yes",IF($C$18=Ref!$B$18,"Yes")))</f>
        <v/>
      </c>
      <c r="O22" s="57" t="str">
        <f t="shared" si="1"/>
        <v/>
      </c>
      <c r="P22" s="50" t="str">
        <f t="shared" si="2"/>
        <v/>
      </c>
      <c r="Q22" s="46" t="str">
        <f>IF(P22="Yes",IF($C$13=Ref!$B$4,J22+ABS(ROC),IF($C$13=Ref!$B$5,J22-ABS(ROC))),"")</f>
        <v/>
      </c>
      <c r="R22" s="77"/>
    </row>
    <row r="23" spans="1:18" ht="13.9" customHeight="1" x14ac:dyDescent="0.25">
      <c r="A23" s="10"/>
      <c r="B23" s="84"/>
      <c r="C23" s="84"/>
      <c r="D23" s="10"/>
      <c r="E23" s="14" t="s">
        <v>50</v>
      </c>
      <c r="F23" s="65" t="s">
        <v>47</v>
      </c>
      <c r="G23" s="66">
        <v>60</v>
      </c>
      <c r="H23" s="65" t="s">
        <v>28</v>
      </c>
      <c r="I23" s="65">
        <v>1</v>
      </c>
      <c r="J23" s="67">
        <v>52</v>
      </c>
      <c r="K23" s="31" t="str">
        <f>IF(OR(ISBLANK(a),ISBLANK(b),ISBLANK(ROC)),"",IF(I23&lt;=ABS(ROC)/b,"Yes","No"))</f>
        <v/>
      </c>
      <c r="L23" s="3" t="str">
        <f>IF(OR(ISBLANK(a),ISBLANK(b),ISBLANK(ROC)),"",IF($C$13=Ref!$B$4,"N/A",IF(J23&gt;ABS(ROC)+w,"Yes","No")))</f>
        <v/>
      </c>
      <c r="M23" s="3" t="str">
        <f t="shared" si="0"/>
        <v/>
      </c>
      <c r="N23" s="3" t="str">
        <f>IF(OR(ISBLANK(a),ISBLANK(b),ISBLANK(ROC)),"",IF($C$18=Ref!$B$17,"Yes",IF($C$18=Ref!$B$18,"Yes")))</f>
        <v/>
      </c>
      <c r="O23" s="57" t="str">
        <f t="shared" si="1"/>
        <v/>
      </c>
      <c r="P23" s="50" t="str">
        <f t="shared" si="2"/>
        <v/>
      </c>
      <c r="Q23" s="46" t="str">
        <f>IF(P23="Yes",IF($C$13=Ref!$B$4,J23+ABS(ROC),IF($C$13=Ref!$B$5,J23-ABS(ROC))),"")</f>
        <v/>
      </c>
      <c r="R23" s="77"/>
    </row>
    <row r="24" spans="1:18" ht="13.9" customHeight="1" x14ac:dyDescent="0.25">
      <c r="A24" s="10"/>
      <c r="B24" s="84"/>
      <c r="C24" s="84"/>
      <c r="D24" s="10"/>
      <c r="E24" s="14" t="s">
        <v>51</v>
      </c>
      <c r="F24" s="65" t="s">
        <v>47</v>
      </c>
      <c r="G24" s="66">
        <v>60</v>
      </c>
      <c r="H24" s="65" t="s">
        <v>28</v>
      </c>
      <c r="I24" s="65">
        <v>1.5</v>
      </c>
      <c r="J24" s="67">
        <v>84.9</v>
      </c>
      <c r="K24" s="31" t="str">
        <f>IF(OR(ISBLANK(a),ISBLANK(b),ISBLANK(ROC)),"",IF(I24&lt;=ABS(ROC)/b,"Yes","No"))</f>
        <v/>
      </c>
      <c r="L24" s="3" t="str">
        <f>IF(OR(ISBLANK(a),ISBLANK(b),ISBLANK(ROC)),"",IF($C$13=Ref!$B$4,"N/A",IF(J24&gt;ABS(ROC)+w,"Yes","No")))</f>
        <v/>
      </c>
      <c r="M24" s="3" t="str">
        <f t="shared" si="0"/>
        <v/>
      </c>
      <c r="N24" s="3" t="str">
        <f>IF(OR(ISBLANK(a),ISBLANK(b),ISBLANK(ROC)),"",IF($C$18=Ref!$B$17,"Yes",IF($C$18=Ref!$B$18,"Yes")))</f>
        <v/>
      </c>
      <c r="O24" s="57" t="str">
        <f t="shared" si="1"/>
        <v/>
      </c>
      <c r="P24" s="50" t="str">
        <f t="shared" si="2"/>
        <v/>
      </c>
      <c r="Q24" s="46" t="str">
        <f>IF(P24="Yes",IF($C$13=Ref!$B$4,J24+ABS(ROC),IF($C$13=Ref!$B$5,J24-ABS(ROC))),"")</f>
        <v/>
      </c>
      <c r="R24" s="77"/>
    </row>
    <row r="25" spans="1:18" ht="13.9" customHeight="1" x14ac:dyDescent="0.25">
      <c r="A25" s="10"/>
      <c r="B25" s="84"/>
      <c r="C25" s="84"/>
      <c r="D25" s="10"/>
      <c r="E25" s="14" t="s">
        <v>52</v>
      </c>
      <c r="F25" s="65" t="s">
        <v>47</v>
      </c>
      <c r="G25" s="66">
        <v>60</v>
      </c>
      <c r="H25" s="65" t="s">
        <v>28</v>
      </c>
      <c r="I25" s="65">
        <v>2</v>
      </c>
      <c r="J25" s="67">
        <v>116.2</v>
      </c>
      <c r="K25" s="31" t="str">
        <f>IF(OR(ISBLANK(a),ISBLANK(b),ISBLANK(ROC)),"",IF(I25&lt;=ABS(ROC)/b,"Yes","No"))</f>
        <v/>
      </c>
      <c r="L25" s="3" t="str">
        <f>IF(OR(ISBLANK(a),ISBLANK(b),ISBLANK(ROC)),"",IF($C$13=Ref!$B$4,"N/A",IF(J25&gt;ABS(ROC)+w,"Yes","No")))</f>
        <v/>
      </c>
      <c r="M25" s="3" t="str">
        <f t="shared" si="0"/>
        <v/>
      </c>
      <c r="N25" s="3" t="str">
        <f>IF(OR(ISBLANK(a),ISBLANK(b),ISBLANK(ROC)),"",IF($C$18=Ref!$B$17,"Yes",IF($C$18=Ref!$B$18,"Yes")))</f>
        <v/>
      </c>
      <c r="O25" s="57" t="str">
        <f t="shared" si="1"/>
        <v/>
      </c>
      <c r="P25" s="50" t="str">
        <f t="shared" si="2"/>
        <v/>
      </c>
      <c r="Q25" s="46" t="str">
        <f>IF(P25="Yes",IF($C$13=Ref!$B$4,J25+ABS(ROC),IF($C$13=Ref!$B$5,J25-ABS(ROC))),"")</f>
        <v/>
      </c>
      <c r="R25" s="77"/>
    </row>
    <row r="26" spans="1:18" ht="13.9" customHeight="1" x14ac:dyDescent="0.25">
      <c r="A26" s="10"/>
      <c r="B26" s="84"/>
      <c r="C26" s="84"/>
      <c r="D26" s="10"/>
      <c r="E26" s="14" t="s">
        <v>53</v>
      </c>
      <c r="F26" s="65" t="s">
        <v>47</v>
      </c>
      <c r="G26" s="66">
        <v>60</v>
      </c>
      <c r="H26" s="65" t="s">
        <v>28</v>
      </c>
      <c r="I26" s="65">
        <v>3</v>
      </c>
      <c r="J26" s="67">
        <v>177.5</v>
      </c>
      <c r="K26" s="31" t="str">
        <f>IF(OR(ISBLANK(a),ISBLANK(b),ISBLANK(ROC)),"",IF(I26&lt;=ABS(ROC)/b,"Yes","No"))</f>
        <v/>
      </c>
      <c r="L26" s="3" t="str">
        <f>IF(OR(ISBLANK(a),ISBLANK(b),ISBLANK(ROC)),"",IF($C$13=Ref!$B$4,"N/A",IF(J26&gt;ABS(ROC)+w,"Yes","No")))</f>
        <v/>
      </c>
      <c r="M26" s="3" t="str">
        <f t="shared" si="0"/>
        <v/>
      </c>
      <c r="N26" s="3" t="str">
        <f>IF(OR(ISBLANK(a),ISBLANK(b),ISBLANK(ROC)),"",IF($C$18=Ref!$B$17,"Yes",IF($C$18=Ref!$B$18,"Yes")))</f>
        <v/>
      </c>
      <c r="O26" s="57" t="str">
        <f t="shared" si="1"/>
        <v/>
      </c>
      <c r="P26" s="50" t="str">
        <f t="shared" si="2"/>
        <v/>
      </c>
      <c r="Q26" s="46" t="str">
        <f>IF(P26="Yes",IF($C$13=Ref!$B$4,J26+ABS(ROC),IF($C$13=Ref!$B$5,J26-ABS(ROC))),"")</f>
        <v/>
      </c>
      <c r="R26" s="77"/>
    </row>
    <row r="27" spans="1:18" x14ac:dyDescent="0.25">
      <c r="A27" s="10"/>
      <c r="B27" s="8"/>
      <c r="C27" s="17"/>
      <c r="D27" s="10"/>
      <c r="E27" s="14" t="s">
        <v>54</v>
      </c>
      <c r="F27" s="65" t="s">
        <v>47</v>
      </c>
      <c r="G27" s="66">
        <v>60</v>
      </c>
      <c r="H27" s="65" t="s">
        <v>28</v>
      </c>
      <c r="I27" s="65">
        <v>4</v>
      </c>
      <c r="J27" s="67">
        <v>238.1</v>
      </c>
      <c r="K27" s="31" t="str">
        <f>IF(OR(ISBLANK(a),ISBLANK(b),ISBLANK(ROC)),"",IF(I27&lt;=ABS(ROC)/b,"Yes","No"))</f>
        <v/>
      </c>
      <c r="L27" s="3" t="str">
        <f>IF(OR(ISBLANK(a),ISBLANK(b),ISBLANK(ROC)),"",IF($C$13=Ref!$B$4,"N/A",IF(J27&gt;ABS(ROC)+w,"Yes","No")))</f>
        <v/>
      </c>
      <c r="M27" s="3" t="str">
        <f t="shared" si="0"/>
        <v/>
      </c>
      <c r="N27" s="3" t="str">
        <f>IF(OR(ISBLANK(a),ISBLANK(b),ISBLANK(ROC)),"",IF($C$18=Ref!$B$17,"Yes",IF($C$18=Ref!$B$18,"Yes")))</f>
        <v/>
      </c>
      <c r="O27" s="57" t="str">
        <f t="shared" si="1"/>
        <v/>
      </c>
      <c r="P27" s="50" t="str">
        <f t="shared" si="2"/>
        <v/>
      </c>
      <c r="Q27" s="46" t="str">
        <f>IF(P27="Yes",IF($C$13=Ref!$B$4,J27+ABS(ROC),IF($C$13=Ref!$B$5,J27-ABS(ROC))),"")</f>
        <v/>
      </c>
      <c r="R27" s="77"/>
    </row>
    <row r="28" spans="1:18" x14ac:dyDescent="0.25">
      <c r="A28" s="10"/>
      <c r="D28" s="10"/>
      <c r="E28" s="25" t="s">
        <v>55</v>
      </c>
      <c r="F28" s="26" t="s">
        <v>47</v>
      </c>
      <c r="G28" s="27">
        <v>60</v>
      </c>
      <c r="H28" s="26" t="s">
        <v>28</v>
      </c>
      <c r="I28" s="26">
        <v>6</v>
      </c>
      <c r="J28" s="41">
        <v>358.7</v>
      </c>
      <c r="K28" s="32" t="str">
        <f>IF(OR(ISBLANK(a),ISBLANK(b),ISBLANK(ROC)),"",IF(I28&lt;=ABS(ROC)/b,"Yes","No"))</f>
        <v/>
      </c>
      <c r="L28" s="28" t="str">
        <f>IF(OR(ISBLANK(a),ISBLANK(b),ISBLANK(ROC)),"",IF($C$13=Ref!$B$4,"N/A",IF(J28&gt;ABS(ROC)+w,"Yes","No")))</f>
        <v/>
      </c>
      <c r="M28" s="28" t="str">
        <f t="shared" si="0"/>
        <v/>
      </c>
      <c r="N28" s="28" t="str">
        <f>IF(OR(ISBLANK(a),ISBLANK(b),ISBLANK(ROC)),"",IF($C$18=Ref!$B$17,"Yes",IF($C$18=Ref!$B$18,"Yes")))</f>
        <v/>
      </c>
      <c r="O28" s="58" t="str">
        <f t="shared" si="1"/>
        <v/>
      </c>
      <c r="P28" s="51" t="str">
        <f t="shared" si="2"/>
        <v/>
      </c>
      <c r="Q28" s="47" t="str">
        <f>IF(P28="Yes",IF($C$13=Ref!$B$4,J28+ABS(ROC),IF($C$13=Ref!$B$5,J28-ABS(ROC))),"")</f>
        <v/>
      </c>
      <c r="R28" s="78"/>
    </row>
    <row r="29" spans="1:18" ht="13.9" customHeight="1" x14ac:dyDescent="0.25">
      <c r="A29" s="10"/>
      <c r="B29" s="79" t="e" vm="1">
        <f>IF(C14=Ref!B9,Ref!P1,IF(C14=Ref!B8,Ref!P19))</f>
        <v>#VALUE!</v>
      </c>
      <c r="C29" s="79"/>
      <c r="D29" s="10"/>
      <c r="E29" s="14" t="s">
        <v>56</v>
      </c>
      <c r="F29" s="65" t="s">
        <v>57</v>
      </c>
      <c r="G29" s="66">
        <v>95</v>
      </c>
      <c r="H29" s="65" t="s">
        <v>58</v>
      </c>
      <c r="I29" s="65">
        <v>0.75</v>
      </c>
      <c r="J29" s="67">
        <v>53.1</v>
      </c>
      <c r="K29" s="35" t="str">
        <f>IF(OR(ISBLANK(a),ISBLANK(b),ISBLANK(ROC)),"",IF(I29&lt;=ABS(ROC)/b,"Yes","No"))</f>
        <v/>
      </c>
      <c r="L29" s="36" t="str">
        <f>IF(OR(ISBLANK(a),ISBLANK(b),ISBLANK(ROC)),"",IF($C$13=Ref!$B$4,"N/A",IF(J29&gt;ABS(ROC)+w,"Yes","No")))</f>
        <v/>
      </c>
      <c r="M29" s="3" t="str">
        <f>IF(OR(ISBLANK(a),ISBLANK(b),ISBLANK(ROC)),"",IF($C$14=Ref!$B$8,IF(a&lt;=G29,"Yes","No"),IF($C$14=Ref!$B$9,IF(4*J29^2/(4*(ROC/b)^2-1)+a^2&lt;=G29^2,"Yes","No"))))</f>
        <v/>
      </c>
      <c r="N29" s="36" t="str">
        <f>IF(OR(ISBLANK(a),ISBLANK(b),ISBLANK(ROC)),"",IF($C$18=Ref!$B$17,"Yes",IF($C$18=Ref!$B$18,"Yes")))</f>
        <v/>
      </c>
      <c r="O29" s="56" t="str">
        <f t="shared" si="1"/>
        <v/>
      </c>
      <c r="P29" s="49" t="str">
        <f t="shared" si="2"/>
        <v/>
      </c>
      <c r="Q29" s="45" t="str">
        <f>IF(P29="Yes",IF($C$13=Ref!$B$4,J29+ABS(ROC),IF($C$13=Ref!$B$5,J29-ABS(ROC))),"")</f>
        <v/>
      </c>
      <c r="R29" s="80" t="s">
        <v>88</v>
      </c>
    </row>
    <row r="30" spans="1:18" ht="14.65" customHeight="1" x14ac:dyDescent="0.25">
      <c r="A30" s="10"/>
      <c r="B30" s="79"/>
      <c r="C30" s="79"/>
      <c r="D30" s="10"/>
      <c r="E30" s="14" t="s">
        <v>59</v>
      </c>
      <c r="F30" s="65" t="s">
        <v>57</v>
      </c>
      <c r="G30" s="66">
        <v>95</v>
      </c>
      <c r="H30" s="65" t="s">
        <v>58</v>
      </c>
      <c r="I30" s="65">
        <v>0.9</v>
      </c>
      <c r="J30" s="67">
        <v>71.099999999999994</v>
      </c>
      <c r="K30" s="31" t="str">
        <f>IF(OR(ISBLANK(a),ISBLANK(b),ISBLANK(ROC)),"",IF(I30&lt;=ABS(ROC)/b,"Yes","No"))</f>
        <v/>
      </c>
      <c r="L30" s="3" t="str">
        <f>IF(OR(ISBLANK(a),ISBLANK(b),ISBLANK(ROC)),"",IF($C$13=Ref!$B$4,"N/A",IF(J30&gt;ABS(ROC)+w,"Yes","No")))</f>
        <v/>
      </c>
      <c r="M30" s="3" t="str">
        <f>IF(OR(ISBLANK(a),ISBLANK(b),ISBLANK(ROC)),"",IF($C$14=Ref!$B$8,IF(a&lt;=G30,"Yes","No"),IF($C$14=Ref!$B$9,IF(4*J30^2/(4*(ROC/b)^2-1)+a^2&lt;=G30^2,"Yes","No"))))</f>
        <v/>
      </c>
      <c r="N30" s="3" t="str">
        <f>IF(OR(ISBLANK(a),ISBLANK(b),ISBLANK(ROC)),"",IF($C$18=Ref!$B$17,"Yes",IF($C$18=Ref!$B$18,"Yes")))</f>
        <v/>
      </c>
      <c r="O30" s="57" t="str">
        <f t="shared" si="1"/>
        <v/>
      </c>
      <c r="P30" s="50" t="str">
        <f t="shared" si="2"/>
        <v/>
      </c>
      <c r="Q30" s="46" t="str">
        <f>IF(P30="Yes",IF($C$13=Ref!$B$4,J30+ABS(ROC),IF($C$13=Ref!$B$5,J30-ABS(ROC))),"")</f>
        <v/>
      </c>
      <c r="R30" s="81"/>
    </row>
    <row r="31" spans="1:18" ht="14.65" customHeight="1" x14ac:dyDescent="0.25">
      <c r="A31" s="10"/>
      <c r="B31" s="79"/>
      <c r="C31" s="79"/>
      <c r="D31" s="10"/>
      <c r="E31" s="14" t="s">
        <v>60</v>
      </c>
      <c r="F31" s="65" t="s">
        <v>57</v>
      </c>
      <c r="G31" s="66">
        <v>95</v>
      </c>
      <c r="H31" s="65" t="s">
        <v>58</v>
      </c>
      <c r="I31" s="65">
        <v>1</v>
      </c>
      <c r="J31" s="67">
        <v>82.3</v>
      </c>
      <c r="K31" s="31" t="str">
        <f>IF(OR(ISBLANK(a),ISBLANK(b),ISBLANK(ROC)),"",IF(I31&lt;=ABS(ROC)/b,"Yes","No"))</f>
        <v/>
      </c>
      <c r="L31" s="3" t="str">
        <f>IF(OR(ISBLANK(a),ISBLANK(b),ISBLANK(ROC)),"",IF($C$13=Ref!$B$4,"N/A",IF(J31&gt;ABS(ROC)+w,"Yes","No")))</f>
        <v/>
      </c>
      <c r="M31" s="3" t="str">
        <f>IF(OR(ISBLANK(a),ISBLANK(b),ISBLANK(ROC)),"",IF($C$14=Ref!$B$8,IF(a&lt;=G31,"Yes","No"),IF($C$14=Ref!$B$9,IF(4*J31^2/(4*(ROC/b)^2-1)+a^2&lt;=G31^2,"Yes","No"))))</f>
        <v/>
      </c>
      <c r="N31" s="3" t="str">
        <f>IF(OR(ISBLANK(a),ISBLANK(b),ISBLANK(ROC)),"",IF($C$18=Ref!$B$17,"Yes",IF($C$18=Ref!$B$18,"Yes")))</f>
        <v/>
      </c>
      <c r="O31" s="57" t="str">
        <f t="shared" si="1"/>
        <v/>
      </c>
      <c r="P31" s="50" t="str">
        <f t="shared" si="2"/>
        <v/>
      </c>
      <c r="Q31" s="46" t="str">
        <f>IF(P31="Yes",IF($C$13=Ref!$B$4,J31+ABS(ROC),IF($C$13=Ref!$B$5,J31-ABS(ROC))),"")</f>
        <v/>
      </c>
      <c r="R31" s="81"/>
    </row>
    <row r="32" spans="1:18" ht="14.65" customHeight="1" x14ac:dyDescent="0.25">
      <c r="A32" s="10"/>
      <c r="B32" s="79"/>
      <c r="C32" s="79"/>
      <c r="D32" s="10"/>
      <c r="E32" s="14" t="s">
        <v>61</v>
      </c>
      <c r="F32" s="65" t="s">
        <v>57</v>
      </c>
      <c r="G32" s="66">
        <v>95</v>
      </c>
      <c r="H32" s="65" t="s">
        <v>58</v>
      </c>
      <c r="I32" s="65">
        <v>1.5</v>
      </c>
      <c r="J32" s="67">
        <v>134.4</v>
      </c>
      <c r="K32" s="31" t="str">
        <f>IF(OR(ISBLANK(a),ISBLANK(b),ISBLANK(ROC)),"",IF(I32&lt;=ABS(ROC)/b,"Yes","No"))</f>
        <v/>
      </c>
      <c r="L32" s="3" t="str">
        <f>IF(OR(ISBLANK(a),ISBLANK(b),ISBLANK(ROC)),"",IF($C$13=Ref!$B$4,"N/A",IF(J32&gt;ABS(ROC)+w,"Yes","No")))</f>
        <v/>
      </c>
      <c r="M32" s="3" t="str">
        <f>IF(OR(ISBLANK(a),ISBLANK(b),ISBLANK(ROC)),"",IF($C$14=Ref!$B$8,IF(a&lt;=G32,"Yes","No"),IF($C$14=Ref!$B$9,IF(4*J32^2/(4*(ROC/b)^2-1)+a^2&lt;=G32^2,"Yes","No"))))</f>
        <v/>
      </c>
      <c r="N32" s="3" t="str">
        <f>IF(OR(ISBLANK(a),ISBLANK(b),ISBLANK(ROC)),"",IF($C$18=Ref!$B$17,"Yes",IF($C$18=Ref!$B$18,"Yes")))</f>
        <v/>
      </c>
      <c r="O32" s="57" t="str">
        <f t="shared" si="1"/>
        <v/>
      </c>
      <c r="P32" s="50" t="str">
        <f t="shared" si="2"/>
        <v/>
      </c>
      <c r="Q32" s="46" t="str">
        <f>IF(P32="Yes",IF($C$13=Ref!$B$4,J32+ABS(ROC),IF($C$13=Ref!$B$5,J32-ABS(ROC))),"")</f>
        <v/>
      </c>
      <c r="R32" s="81"/>
    </row>
    <row r="33" spans="1:18" ht="14.65" customHeight="1" x14ac:dyDescent="0.25">
      <c r="A33" s="10"/>
      <c r="B33" s="79"/>
      <c r="C33" s="79"/>
      <c r="D33" s="10"/>
      <c r="E33" s="14" t="s">
        <v>62</v>
      </c>
      <c r="F33" s="65" t="s">
        <v>57</v>
      </c>
      <c r="G33" s="66">
        <v>95</v>
      </c>
      <c r="H33" s="65" t="s">
        <v>58</v>
      </c>
      <c r="I33" s="65">
        <v>1.6</v>
      </c>
      <c r="J33" s="67">
        <v>144.4</v>
      </c>
      <c r="K33" s="31" t="str">
        <f>IF(OR(ISBLANK(a),ISBLANK(b),ISBLANK(ROC)),"",IF(I33&lt;=ABS(ROC)/b,"Yes","No"))</f>
        <v/>
      </c>
      <c r="L33" s="3" t="str">
        <f>IF(OR(ISBLANK(a),ISBLANK(b),ISBLANK(ROC)),"",IF($C$13=Ref!$B$4,"N/A",IF(J33&gt;ABS(ROC)+w,"Yes","No")))</f>
        <v/>
      </c>
      <c r="M33" s="3" t="str">
        <f>IF(OR(ISBLANK(a),ISBLANK(b),ISBLANK(ROC)),"",IF($C$14=Ref!$B$8,IF(a&lt;=G33,"Yes","No"),IF($C$14=Ref!$B$9,IF(4*J33^2/(4*(ROC/b)^2-1)+a^2&lt;=G33^2,"Yes","No"))))</f>
        <v/>
      </c>
      <c r="N33" s="3" t="str">
        <f>IF(OR(ISBLANK(a),ISBLANK(b),ISBLANK(ROC)),"",IF($C$18=Ref!$B$17,"Yes",IF($C$18=Ref!$B$18,"Yes")))</f>
        <v/>
      </c>
      <c r="O33" s="57" t="str">
        <f t="shared" si="1"/>
        <v/>
      </c>
      <c r="P33" s="50" t="str">
        <f t="shared" si="2"/>
        <v/>
      </c>
      <c r="Q33" s="46" t="str">
        <f>IF(P33="Yes",IF($C$13=Ref!$B$4,J33+ABS(ROC),IF($C$13=Ref!$B$5,J33-ABS(ROC))),"")</f>
        <v/>
      </c>
      <c r="R33" s="81"/>
    </row>
    <row r="34" spans="1:18" ht="14.65" customHeight="1" x14ac:dyDescent="0.25">
      <c r="A34" s="10"/>
      <c r="B34" s="79"/>
      <c r="C34" s="79"/>
      <c r="D34" s="10"/>
      <c r="E34" s="14" t="s">
        <v>63</v>
      </c>
      <c r="F34" s="65" t="s">
        <v>57</v>
      </c>
      <c r="G34" s="66">
        <v>95</v>
      </c>
      <c r="H34" s="65" t="s">
        <v>58</v>
      </c>
      <c r="I34" s="65">
        <v>2</v>
      </c>
      <c r="J34" s="67">
        <v>184</v>
      </c>
      <c r="K34" s="31" t="str">
        <f>IF(OR(ISBLANK(a),ISBLANK(b),ISBLANK(ROC)),"",IF(I34&lt;=ABS(ROC)/b,"Yes","No"))</f>
        <v/>
      </c>
      <c r="L34" s="3" t="str">
        <f>IF(OR(ISBLANK(a),ISBLANK(b),ISBLANK(ROC)),"",IF($C$13=Ref!$B$4,"N/A",IF(J34&gt;ABS(ROC)+w,"Yes","No")))</f>
        <v/>
      </c>
      <c r="M34" s="3" t="str">
        <f>IF(OR(ISBLANK(a),ISBLANK(b),ISBLANK(ROC)),"",IF($C$14=Ref!$B$8,IF(a&lt;=G34,"Yes","No"),IF($C$14=Ref!$B$9,IF(4*J34^2/(4*(ROC/b)^2-1)+a^2&lt;=G34^2,"Yes","No"))))</f>
        <v/>
      </c>
      <c r="N34" s="3" t="str">
        <f>IF(OR(ISBLANK(a),ISBLANK(b),ISBLANK(ROC)),"",IF($C$18=Ref!$B$17,"Yes",IF($C$18=Ref!$B$18,"Yes")))</f>
        <v/>
      </c>
      <c r="O34" s="57" t="str">
        <f t="shared" si="1"/>
        <v/>
      </c>
      <c r="P34" s="50" t="str">
        <f t="shared" si="2"/>
        <v/>
      </c>
      <c r="Q34" s="46" t="str">
        <f>IF(P34="Yes",IF($C$13=Ref!$B$4,J34+ABS(ROC),IF($C$13=Ref!$B$5,J34-ABS(ROC))),"")</f>
        <v/>
      </c>
      <c r="R34" s="81"/>
    </row>
    <row r="35" spans="1:18" ht="14.65" customHeight="1" x14ac:dyDescent="0.25">
      <c r="A35" s="10"/>
      <c r="B35" s="79"/>
      <c r="C35" s="79"/>
      <c r="D35" s="10"/>
      <c r="E35" s="14" t="s">
        <v>64</v>
      </c>
      <c r="F35" s="65" t="s">
        <v>57</v>
      </c>
      <c r="G35" s="66">
        <v>95</v>
      </c>
      <c r="H35" s="65" t="s">
        <v>58</v>
      </c>
      <c r="I35" s="65">
        <v>3</v>
      </c>
      <c r="J35" s="67">
        <v>281</v>
      </c>
      <c r="K35" s="31" t="str">
        <f>IF(OR(ISBLANK(a),ISBLANK(b),ISBLANK(ROC)),"",IF(I35&lt;=ABS(ROC)/b,"Yes","No"))</f>
        <v/>
      </c>
      <c r="L35" s="3" t="str">
        <f>IF(OR(ISBLANK(a),ISBLANK(b),ISBLANK(ROC)),"",IF($C$13=Ref!$B$4,"N/A",IF(J35&gt;ABS(ROC)+w,"Yes","No")))</f>
        <v/>
      </c>
      <c r="M35" s="3" t="str">
        <f>IF(OR(ISBLANK(a),ISBLANK(b),ISBLANK(ROC)),"",IF($C$14=Ref!$B$8,IF(a&lt;=G35,"Yes","No"),IF($C$14=Ref!$B$9,IF(4*J35^2/(4*(ROC/b)^2-1)+a^2&lt;=G35^2,"Yes","No"))))</f>
        <v/>
      </c>
      <c r="N35" s="3" t="str">
        <f>IF(OR(ISBLANK(a),ISBLANK(b),ISBLANK(ROC)),"",IF($C$18=Ref!$B$17,"Yes",IF($C$18=Ref!$B$18,"Yes")))</f>
        <v/>
      </c>
      <c r="O35" s="57" t="str">
        <f t="shared" si="1"/>
        <v/>
      </c>
      <c r="P35" s="50" t="str">
        <f t="shared" si="2"/>
        <v/>
      </c>
      <c r="Q35" s="46" t="str">
        <f>IF(P35="Yes",IF($C$13=Ref!$B$4,J35+ABS(ROC),IF($C$13=Ref!$B$5,J35-ABS(ROC))),"")</f>
        <v/>
      </c>
      <c r="R35" s="81"/>
    </row>
    <row r="36" spans="1:18" ht="14.65" customHeight="1" x14ac:dyDescent="0.25">
      <c r="A36" s="10"/>
      <c r="B36" s="79"/>
      <c r="C36" s="79"/>
      <c r="D36" s="10"/>
      <c r="E36" s="14" t="s">
        <v>65</v>
      </c>
      <c r="F36" s="65" t="s">
        <v>57</v>
      </c>
      <c r="G36" s="66">
        <v>95</v>
      </c>
      <c r="H36" s="65" t="s">
        <v>58</v>
      </c>
      <c r="I36" s="65">
        <v>4</v>
      </c>
      <c r="J36" s="67">
        <v>377</v>
      </c>
      <c r="K36" s="31" t="str">
        <f>IF(OR(ISBLANK(a),ISBLANK(b),ISBLANK(ROC)),"",IF(I36&lt;=ABS(ROC)/b,"Yes","No"))</f>
        <v/>
      </c>
      <c r="L36" s="3" t="str">
        <f>IF(OR(ISBLANK(a),ISBLANK(b),ISBLANK(ROC)),"",IF($C$13=Ref!$B$4,"N/A",IF(J36&gt;ABS(ROC)+w,"Yes","No")))</f>
        <v/>
      </c>
      <c r="M36" s="3" t="str">
        <f>IF(OR(ISBLANK(a),ISBLANK(b),ISBLANK(ROC)),"",IF($C$14=Ref!$B$8,IF(a&lt;=G36,"Yes","No"),IF($C$14=Ref!$B$9,IF(4*J36^2/(4*(ROC/b)^2-1)+a^2&lt;=G36^2,"Yes","No"))))</f>
        <v/>
      </c>
      <c r="N36" s="3" t="str">
        <f>IF(OR(ISBLANK(a),ISBLANK(b),ISBLANK(ROC)),"",IF($C$18=Ref!$B$17,"Yes",IF($C$18=Ref!$B$18,"Yes")))</f>
        <v/>
      </c>
      <c r="O36" s="57" t="str">
        <f t="shared" si="1"/>
        <v/>
      </c>
      <c r="P36" s="50" t="str">
        <f t="shared" si="2"/>
        <v/>
      </c>
      <c r="Q36" s="46" t="str">
        <f>IF(P36="Yes",IF($C$13=Ref!$B$4,J36+ABS(ROC),IF($C$13=Ref!$B$5,J36-ABS(ROC))),"")</f>
        <v/>
      </c>
      <c r="R36" s="81"/>
    </row>
    <row r="37" spans="1:18" ht="14.65" customHeight="1" x14ac:dyDescent="0.25">
      <c r="A37" s="10"/>
      <c r="B37" s="79"/>
      <c r="C37" s="79"/>
      <c r="D37" s="10"/>
      <c r="E37" s="14" t="s">
        <v>66</v>
      </c>
      <c r="F37" s="65" t="s">
        <v>57</v>
      </c>
      <c r="G37" s="66">
        <v>95</v>
      </c>
      <c r="H37" s="65" t="s">
        <v>58</v>
      </c>
      <c r="I37" s="65">
        <v>5</v>
      </c>
      <c r="J37" s="67">
        <v>472.6</v>
      </c>
      <c r="K37" s="31" t="str">
        <f>IF(OR(ISBLANK(a),ISBLANK(b),ISBLANK(ROC)),"",IF(I37&lt;=ABS(ROC)/b,"Yes","No"))</f>
        <v/>
      </c>
      <c r="L37" s="3" t="str">
        <f>IF(OR(ISBLANK(a),ISBLANK(b),ISBLANK(ROC)),"",IF($C$13=Ref!$B$4,"N/A",IF(J37&gt;ABS(ROC)+w,"Yes","No")))</f>
        <v/>
      </c>
      <c r="M37" s="3" t="str">
        <f>IF(OR(ISBLANK(a),ISBLANK(b),ISBLANK(ROC)),"",IF($C$14=Ref!$B$8,IF(a&lt;=G37,"Yes","No"),IF($C$14=Ref!$B$9,IF(4*J37^2/(4*(ROC/b)^2-1)+a^2&lt;=G37^2,"Yes","No"))))</f>
        <v/>
      </c>
      <c r="N37" s="3" t="str">
        <f>IF(OR(ISBLANK(a),ISBLANK(b),ISBLANK(ROC)),"",IF($C$18=Ref!$B$17,"Yes",IF($C$18=Ref!$B$18,"Yes")))</f>
        <v/>
      </c>
      <c r="O37" s="57" t="str">
        <f t="shared" si="1"/>
        <v/>
      </c>
      <c r="P37" s="50" t="str">
        <f t="shared" si="2"/>
        <v/>
      </c>
      <c r="Q37" s="46" t="str">
        <f>IF(P37="Yes",IF($C$13=Ref!$B$4,J37+ABS(ROC),IF($C$13=Ref!$B$5,J37-ABS(ROC))),"")</f>
        <v/>
      </c>
      <c r="R37" s="81"/>
    </row>
    <row r="38" spans="1:18" ht="14.65" customHeight="1" x14ac:dyDescent="0.25">
      <c r="A38" s="10"/>
      <c r="B38" s="79"/>
      <c r="C38" s="79"/>
      <c r="D38" s="10"/>
      <c r="E38" s="14" t="s">
        <v>67</v>
      </c>
      <c r="F38" s="65" t="s">
        <v>57</v>
      </c>
      <c r="G38" s="66">
        <v>95</v>
      </c>
      <c r="H38" s="65" t="s">
        <v>58</v>
      </c>
      <c r="I38" s="65">
        <v>5.5</v>
      </c>
      <c r="J38" s="67">
        <v>520.29999999999995</v>
      </c>
      <c r="K38" s="31" t="str">
        <f>IF(OR(ISBLANK(a),ISBLANK(b),ISBLANK(ROC)),"",IF(I38&lt;=ABS(ROC)/b,"Yes","No"))</f>
        <v/>
      </c>
      <c r="L38" s="3" t="str">
        <f>IF(OR(ISBLANK(a),ISBLANK(b),ISBLANK(ROC)),"",IF($C$13=Ref!$B$4,"N/A",IF(J38&gt;ABS(ROC)+w,"Yes","No")))</f>
        <v/>
      </c>
      <c r="M38" s="3" t="str">
        <f>IF(OR(ISBLANK(a),ISBLANK(b),ISBLANK(ROC)),"",IF($C$14=Ref!$B$8,IF(a&lt;=G38,"Yes","No"),IF($C$14=Ref!$B$9,IF(4*J38^2/(4*(ROC/b)^2-1)+a^2&lt;=G38^2,"Yes","No"))))</f>
        <v/>
      </c>
      <c r="N38" s="3" t="str">
        <f>IF(OR(ISBLANK(a),ISBLANK(b),ISBLANK(ROC)),"",IF($C$18=Ref!$B$17,"Yes",IF($C$18=Ref!$B$18,"Yes")))</f>
        <v/>
      </c>
      <c r="O38" s="57" t="str">
        <f t="shared" si="1"/>
        <v/>
      </c>
      <c r="P38" s="50" t="str">
        <f t="shared" si="2"/>
        <v/>
      </c>
      <c r="Q38" s="46" t="str">
        <f>IF(P38="Yes",IF($C$13=Ref!$B$4,J38+ABS(ROC),IF($C$13=Ref!$B$5,J38-ABS(ROC))),"")</f>
        <v/>
      </c>
      <c r="R38" s="81"/>
    </row>
    <row r="39" spans="1:18" ht="14.65" customHeight="1" x14ac:dyDescent="0.25">
      <c r="B39" s="79"/>
      <c r="C39" s="79"/>
      <c r="E39" s="25" t="s">
        <v>68</v>
      </c>
      <c r="F39" s="26" t="s">
        <v>57</v>
      </c>
      <c r="G39" s="27">
        <v>95</v>
      </c>
      <c r="H39" s="26" t="s">
        <v>58</v>
      </c>
      <c r="I39" s="26">
        <v>6</v>
      </c>
      <c r="J39" s="41">
        <v>568</v>
      </c>
      <c r="K39" s="32" t="str">
        <f>IF(OR(ISBLANK(a),ISBLANK(b),ISBLANK(ROC)),"",IF(I39&lt;=ABS(ROC)/b,"Yes","No"))</f>
        <v/>
      </c>
      <c r="L39" s="28" t="str">
        <f>IF(OR(ISBLANK(a),ISBLANK(b),ISBLANK(ROC)),"",IF($C$13=Ref!$B$4,"N/A",IF(J39&gt;ABS(ROC)+w,"Yes","No")))</f>
        <v/>
      </c>
      <c r="M39" s="28" t="str">
        <f>IF(OR(ISBLANK(a),ISBLANK(b),ISBLANK(ROC)),"",IF($C$14=Ref!$B$8,IF(a&lt;=G39,"Yes","No"),IF($C$14=Ref!$B$9,IF(4*J39^2/(4*(ROC/b)^2-1)+a^2&lt;=G39^2,"Yes","No"))))</f>
        <v/>
      </c>
      <c r="N39" s="28" t="str">
        <f>IF(OR(ISBLANK(a),ISBLANK(b),ISBLANK(ROC)),"",IF($C$18=Ref!$B$17,"Yes",IF($C$18=Ref!$B$18,"Yes")))</f>
        <v/>
      </c>
      <c r="O39" s="58" t="str">
        <f t="shared" si="1"/>
        <v/>
      </c>
      <c r="P39" s="51" t="str">
        <f t="shared" si="2"/>
        <v/>
      </c>
      <c r="Q39" s="47" t="str">
        <f>IF(P39="Yes",IF($C$13=Ref!$B$4,J39+ABS(ROC),IF($C$13=Ref!$B$5,J39-ABS(ROC))),"")</f>
        <v/>
      </c>
      <c r="R39" s="81"/>
    </row>
    <row r="40" spans="1:18" ht="14.65" customHeight="1" x14ac:dyDescent="0.25">
      <c r="B40" s="79"/>
      <c r="C40" s="79"/>
      <c r="E40" s="14" t="s">
        <v>69</v>
      </c>
      <c r="F40" s="65" t="s">
        <v>57</v>
      </c>
      <c r="G40" s="66">
        <v>140</v>
      </c>
      <c r="H40" s="65" t="s">
        <v>58</v>
      </c>
      <c r="I40" s="65">
        <v>0.75</v>
      </c>
      <c r="J40" s="67">
        <v>78.3</v>
      </c>
      <c r="K40" s="35" t="str">
        <f>IF(OR(ISBLANK(a),ISBLANK(b),ISBLANK(ROC)),"",IF(I40&lt;=ABS(ROC)/b,"Yes","No"))</f>
        <v/>
      </c>
      <c r="L40" s="36" t="str">
        <f>IF(OR(ISBLANK(a),ISBLANK(b),ISBLANK(ROC)),"",IF($C$13=Ref!$B$4,"N/A",IF(J40&gt;ABS(ROC)+w,"Yes","No")))</f>
        <v/>
      </c>
      <c r="M40" s="36" t="str">
        <f>IF(OR(ISBLANK(a),ISBLANK(b),ISBLANK(ROC)),"",IF($C$14=Ref!$B$8,IF(a&lt;=G40,"Yes","No"),IF($C$14=Ref!$B$9,IF(4*J40^2/(4*(ROC/b)^2-1)+a^2&lt;=G40^2,"Yes","No"))))</f>
        <v/>
      </c>
      <c r="N40" s="36" t="str">
        <f>IF(OR(ISBLANK(a),ISBLANK(b),ISBLANK(ROC)),"",IF($C$18=Ref!$B$17,"No",IF($C$18=Ref!$B$18,"Yes")))</f>
        <v/>
      </c>
      <c r="O40" s="56" t="str">
        <f t="shared" si="1"/>
        <v/>
      </c>
      <c r="P40" s="49" t="str">
        <f t="shared" si="2"/>
        <v/>
      </c>
      <c r="Q40" s="45" t="str">
        <f>IF(P40="Yes",IF($C$13=Ref!$B$4,J40+ABS(ROC),IF($C$13=Ref!$B$5,J40-ABS(ROC))),"")</f>
        <v/>
      </c>
      <c r="R40" s="81"/>
    </row>
    <row r="41" spans="1:18" ht="14.65" customHeight="1" x14ac:dyDescent="0.25">
      <c r="B41" s="79"/>
      <c r="C41" s="79"/>
      <c r="E41" s="14" t="s">
        <v>70</v>
      </c>
      <c r="F41" s="65" t="s">
        <v>57</v>
      </c>
      <c r="G41" s="66">
        <v>140</v>
      </c>
      <c r="H41" s="65" t="s">
        <v>58</v>
      </c>
      <c r="I41" s="65">
        <v>1</v>
      </c>
      <c r="J41" s="67">
        <v>121.2</v>
      </c>
      <c r="K41" s="31" t="str">
        <f>IF(OR(ISBLANK(a),ISBLANK(b),ISBLANK(ROC)),"",IF(I41&lt;=ABS(ROC)/b,"Yes","No"))</f>
        <v/>
      </c>
      <c r="L41" s="3" t="str">
        <f>IF(OR(ISBLANK(a),ISBLANK(b),ISBLANK(ROC)),"",IF($C$13=Ref!$B$4,"N/A",IF(J41&gt;ABS(ROC)+w,"Yes","No")))</f>
        <v/>
      </c>
      <c r="M41" s="3" t="str">
        <f>IF(OR(ISBLANK(a),ISBLANK(b),ISBLANK(ROC)),"",IF($C$14=Ref!$B$8,IF(a&lt;=G41,"Yes","No"),IF($C$14=Ref!$B$9,IF(4*J41^2/(4*(ROC/b)^2-1)+a^2&lt;=G41^2,"Yes","No"))))</f>
        <v/>
      </c>
      <c r="N41" s="3" t="str">
        <f>IF(OR(ISBLANK(a),ISBLANK(b),ISBLANK(ROC)),"",IF($C$18=Ref!$B$17,"No",IF($C$18=Ref!$B$18,"Yes")))</f>
        <v/>
      </c>
      <c r="O41" s="57" t="str">
        <f t="shared" si="1"/>
        <v/>
      </c>
      <c r="P41" s="50" t="str">
        <f t="shared" si="2"/>
        <v/>
      </c>
      <c r="Q41" s="46" t="str">
        <f>IF(P41="Yes",IF($C$13=Ref!$B$4,J41+ABS(ROC),IF($C$13=Ref!$B$5,J41-ABS(ROC))),"")</f>
        <v/>
      </c>
      <c r="R41" s="81"/>
    </row>
    <row r="42" spans="1:18" ht="14.65" customHeight="1" x14ac:dyDescent="0.25">
      <c r="B42" s="79"/>
      <c r="C42" s="79"/>
      <c r="E42" s="14" t="s">
        <v>71</v>
      </c>
      <c r="F42" s="65" t="s">
        <v>57</v>
      </c>
      <c r="G42" s="66">
        <v>140</v>
      </c>
      <c r="H42" s="65" t="s">
        <v>58</v>
      </c>
      <c r="I42" s="65">
        <v>1.1000000000000001</v>
      </c>
      <c r="J42" s="67">
        <v>139.1</v>
      </c>
      <c r="K42" s="31" t="str">
        <f>IF(OR(ISBLANK(a),ISBLANK(b),ISBLANK(ROC)),"",IF(I42&lt;=ABS(ROC)/b,"Yes","No"))</f>
        <v/>
      </c>
      <c r="L42" s="3" t="str">
        <f>IF(OR(ISBLANK(a),ISBLANK(b),ISBLANK(ROC)),"",IF($C$13=Ref!$B$4,"N/A",IF(J42&gt;ABS(ROC)+w,"Yes","No")))</f>
        <v/>
      </c>
      <c r="M42" s="3" t="str">
        <f>IF(OR(ISBLANK(a),ISBLANK(b),ISBLANK(ROC)),"",IF($C$14=Ref!$B$8,IF(a&lt;=G42,"Yes","No"),IF($C$14=Ref!$B$9,IF(4*J42^2/(4*(ROC/b)^2-1)+a^2&lt;=G42^2,"Yes","No"))))</f>
        <v/>
      </c>
      <c r="N42" s="3" t="str">
        <f>IF(OR(ISBLANK(a),ISBLANK(b),ISBLANK(ROC)),"",IF($C$18=Ref!$B$17,"No",IF($C$18=Ref!$B$18,"Yes")))</f>
        <v/>
      </c>
      <c r="O42" s="57" t="str">
        <f t="shared" si="1"/>
        <v/>
      </c>
      <c r="P42" s="50" t="str">
        <f t="shared" si="2"/>
        <v/>
      </c>
      <c r="Q42" s="46" t="str">
        <f>IF(P42="Yes",IF($C$13=Ref!$B$4,J42+ABS(ROC),IF($C$13=Ref!$B$5,J42-ABS(ROC))),"")</f>
        <v/>
      </c>
      <c r="R42" s="81"/>
    </row>
    <row r="43" spans="1:18" ht="14.65" customHeight="1" x14ac:dyDescent="0.25">
      <c r="B43" s="79"/>
      <c r="C43" s="79"/>
      <c r="E43" s="14" t="s">
        <v>72</v>
      </c>
      <c r="F43" s="65" t="s">
        <v>57</v>
      </c>
      <c r="G43" s="66">
        <v>140</v>
      </c>
      <c r="H43" s="65" t="s">
        <v>58</v>
      </c>
      <c r="I43" s="65">
        <v>1.5</v>
      </c>
      <c r="J43" s="67">
        <v>198</v>
      </c>
      <c r="K43" s="31" t="str">
        <f>IF(OR(ISBLANK(a),ISBLANK(b),ISBLANK(ROC)),"",IF(I43&lt;=ABS(ROC)/b,"Yes","No"))</f>
        <v/>
      </c>
      <c r="L43" s="3" t="str">
        <f>IF(OR(ISBLANK(a),ISBLANK(b),ISBLANK(ROC)),"",IF($C$13=Ref!$B$4,"N/A",IF(J43&gt;ABS(ROC)+w,"Yes","No")))</f>
        <v/>
      </c>
      <c r="M43" s="3" t="str">
        <f>IF(OR(ISBLANK(a),ISBLANK(b),ISBLANK(ROC)),"",IF($C$14=Ref!$B$8,IF(a&lt;=G43,"Yes","No"),IF($C$14=Ref!$B$9,IF(4*J43^2/(4*(ROC/b)^2-1)+a^2&lt;=G43^2,"Yes","No"))))</f>
        <v/>
      </c>
      <c r="N43" s="3" t="str">
        <f>IF(OR(ISBLANK(a),ISBLANK(b),ISBLANK(ROC)),"",IF($C$18=Ref!$B$17,"No",IF($C$18=Ref!$B$18,"Yes")))</f>
        <v/>
      </c>
      <c r="O43" s="57" t="str">
        <f t="shared" si="1"/>
        <v/>
      </c>
      <c r="P43" s="50" t="str">
        <f t="shared" si="2"/>
        <v/>
      </c>
      <c r="Q43" s="46" t="str">
        <f>IF(P43="Yes",IF($C$13=Ref!$B$4,J43+ABS(ROC),IF($C$13=Ref!$B$5,J43-ABS(ROC))),"")</f>
        <v/>
      </c>
      <c r="R43" s="81"/>
    </row>
    <row r="44" spans="1:18" ht="14.65" customHeight="1" x14ac:dyDescent="0.25">
      <c r="B44" s="79"/>
      <c r="C44" s="79"/>
      <c r="E44" s="14" t="s">
        <v>73</v>
      </c>
      <c r="F44" s="65" t="s">
        <v>57</v>
      </c>
      <c r="G44" s="66">
        <v>140</v>
      </c>
      <c r="H44" s="65" t="s">
        <v>58</v>
      </c>
      <c r="I44" s="65">
        <v>1.6</v>
      </c>
      <c r="J44" s="67">
        <v>212.8</v>
      </c>
      <c r="K44" s="31" t="str">
        <f>IF(OR(ISBLANK(a),ISBLANK(b),ISBLANK(ROC)),"",IF(I44&lt;=ABS(ROC)/b,"Yes","No"))</f>
        <v/>
      </c>
      <c r="L44" s="3" t="str">
        <f>IF(OR(ISBLANK(a),ISBLANK(b),ISBLANK(ROC)),"",IF($C$13=Ref!$B$4,"N/A",IF(J44&gt;ABS(ROC)+w,"Yes","No")))</f>
        <v/>
      </c>
      <c r="M44" s="3" t="str">
        <f>IF(OR(ISBLANK(a),ISBLANK(b),ISBLANK(ROC)),"",IF($C$14=Ref!$B$8,IF(a&lt;=G44,"Yes","No"),IF($C$14=Ref!$B$9,IF(4*J44^2/(4*(ROC/b)^2-1)+a^2&lt;=G44^2,"Yes","No"))))</f>
        <v/>
      </c>
      <c r="N44" s="3" t="str">
        <f>IF(OR(ISBLANK(a),ISBLANK(b),ISBLANK(ROC)),"",IF($C$18=Ref!$B$17,"No",IF($C$18=Ref!$B$18,"Yes")))</f>
        <v/>
      </c>
      <c r="O44" s="57" t="str">
        <f t="shared" si="1"/>
        <v/>
      </c>
      <c r="P44" s="50" t="str">
        <f t="shared" si="2"/>
        <v/>
      </c>
      <c r="Q44" s="46" t="str">
        <f>IF(P44="Yes",IF($C$13=Ref!$B$4,J44+ABS(ROC),IF($C$13=Ref!$B$5,J44-ABS(ROC))),"")</f>
        <v/>
      </c>
      <c r="R44" s="81"/>
    </row>
    <row r="45" spans="1:18" ht="14.65" customHeight="1" x14ac:dyDescent="0.25">
      <c r="B45" s="79"/>
      <c r="C45" s="79"/>
      <c r="E45" s="14" t="s">
        <v>74</v>
      </c>
      <c r="F45" s="65" t="s">
        <v>57</v>
      </c>
      <c r="G45" s="66">
        <v>140</v>
      </c>
      <c r="H45" s="65" t="s">
        <v>58</v>
      </c>
      <c r="I45" s="65">
        <v>2.5</v>
      </c>
      <c r="J45" s="67">
        <v>342.9</v>
      </c>
      <c r="K45" s="31" t="str">
        <f>IF(OR(ISBLANK(a),ISBLANK(b),ISBLANK(ROC)),"",IF(I45&lt;=ABS(ROC)/b,"Yes","No"))</f>
        <v/>
      </c>
      <c r="L45" s="3" t="str">
        <f>IF(OR(ISBLANK(a),ISBLANK(b),ISBLANK(ROC)),"",IF($C$13=Ref!$B$4,"N/A",IF(J45&gt;ABS(ROC)+w,"Yes","No")))</f>
        <v/>
      </c>
      <c r="M45" s="3" t="str">
        <f>IF(OR(ISBLANK(a),ISBLANK(b),ISBLANK(ROC)),"",IF($C$14=Ref!$B$8,IF(a&lt;=G45,"Yes","No"),IF($C$14=Ref!$B$9,IF(4*J45^2/(4*(ROC/b)^2-1)+a^2&lt;=G45^2,"Yes","No"))))</f>
        <v/>
      </c>
      <c r="N45" s="3" t="str">
        <f>IF(OR(ISBLANK(a),ISBLANK(b),ISBLANK(ROC)),"",IF($C$18=Ref!$B$17,"No",IF($C$18=Ref!$B$18,"Yes")))</f>
        <v/>
      </c>
      <c r="O45" s="57" t="str">
        <f t="shared" si="1"/>
        <v/>
      </c>
      <c r="P45" s="50" t="str">
        <f t="shared" si="2"/>
        <v/>
      </c>
      <c r="Q45" s="46" t="str">
        <f>IF(P45="Yes",IF($C$13=Ref!$B$4,J45+ABS(ROC),IF($C$13=Ref!$B$5,J45-ABS(ROC))),"")</f>
        <v/>
      </c>
      <c r="R45" s="81"/>
    </row>
    <row r="46" spans="1:18" ht="14.65" customHeight="1" x14ac:dyDescent="0.25">
      <c r="B46" s="79"/>
      <c r="C46" s="79"/>
      <c r="E46" s="14" t="s">
        <v>75</v>
      </c>
      <c r="F46" s="65" t="s">
        <v>57</v>
      </c>
      <c r="G46" s="66">
        <v>140</v>
      </c>
      <c r="H46" s="65" t="s">
        <v>58</v>
      </c>
      <c r="I46" s="65">
        <v>2.6</v>
      </c>
      <c r="J46" s="67">
        <v>357.2</v>
      </c>
      <c r="K46" s="31" t="str">
        <f>IF(OR(ISBLANK(a),ISBLANK(b),ISBLANK(ROC)),"",IF(I46&lt;=ABS(ROC)/b,"Yes","No"))</f>
        <v/>
      </c>
      <c r="L46" s="3" t="str">
        <f>IF(OR(ISBLANK(a),ISBLANK(b),ISBLANK(ROC)),"",IF($C$13=Ref!$B$4,"N/A",IF(J46&gt;ABS(ROC)+w,"Yes","No")))</f>
        <v/>
      </c>
      <c r="M46" s="3" t="str">
        <f>IF(OR(ISBLANK(a),ISBLANK(b),ISBLANK(ROC)),"",IF($C$14=Ref!$B$8,IF(a&lt;=G46,"Yes","No"),IF($C$14=Ref!$B$9,IF(4*J46^2/(4*(ROC/b)^2-1)+a^2&lt;=G46^2,"Yes","No"))))</f>
        <v/>
      </c>
      <c r="N46" s="3" t="str">
        <f>IF(OR(ISBLANK(a),ISBLANK(b),ISBLANK(ROC)),"",IF($C$18=Ref!$B$17,"No",IF($C$18=Ref!$B$18,"Yes")))</f>
        <v/>
      </c>
      <c r="O46" s="57" t="str">
        <f t="shared" si="1"/>
        <v/>
      </c>
      <c r="P46" s="50" t="str">
        <f t="shared" si="2"/>
        <v/>
      </c>
      <c r="Q46" s="46" t="str">
        <f>IF(P46="Yes",IF($C$13=Ref!$B$4,J46+ABS(ROC),IF($C$13=Ref!$B$5,J46-ABS(ROC))),"")</f>
        <v/>
      </c>
      <c r="R46" s="81"/>
    </row>
    <row r="47" spans="1:18" ht="14.65" customHeight="1" x14ac:dyDescent="0.25">
      <c r="B47" s="79"/>
      <c r="C47" s="79"/>
      <c r="E47" s="14" t="s">
        <v>76</v>
      </c>
      <c r="F47" s="65" t="s">
        <v>57</v>
      </c>
      <c r="G47" s="66">
        <v>140</v>
      </c>
      <c r="H47" s="65" t="s">
        <v>58</v>
      </c>
      <c r="I47" s="65">
        <v>3</v>
      </c>
      <c r="J47" s="67">
        <v>414.1</v>
      </c>
      <c r="K47" s="31" t="str">
        <f>IF(OR(ISBLANK(a),ISBLANK(b),ISBLANK(ROC)),"",IF(I47&lt;=ABS(ROC)/b,"Yes","No"))</f>
        <v/>
      </c>
      <c r="L47" s="3" t="str">
        <f>IF(OR(ISBLANK(a),ISBLANK(b),ISBLANK(ROC)),"",IF($C$13=Ref!$B$4,"N/A",IF(J47&gt;ABS(ROC)+w,"Yes","No")))</f>
        <v/>
      </c>
      <c r="M47" s="3" t="str">
        <f>IF(OR(ISBLANK(a),ISBLANK(b),ISBLANK(ROC)),"",IF($C$14=Ref!$B$8,IF(a&lt;=G47,"Yes","No"),IF($C$14=Ref!$B$9,IF(4*J47^2/(4*(ROC/b)^2-1)+a^2&lt;=G47^2,"Yes","No"))))</f>
        <v/>
      </c>
      <c r="N47" s="3" t="str">
        <f>IF(OR(ISBLANK(a),ISBLANK(b),ISBLANK(ROC)),"",IF($C$18=Ref!$B$17,"No",IF($C$18=Ref!$B$18,"Yes")))</f>
        <v/>
      </c>
      <c r="O47" s="57" t="str">
        <f t="shared" si="1"/>
        <v/>
      </c>
      <c r="P47" s="50" t="str">
        <f t="shared" si="2"/>
        <v/>
      </c>
      <c r="Q47" s="46" t="str">
        <f>IF(P47="Yes",IF($C$13=Ref!$B$4,J47+ABS(ROC),IF($C$13=Ref!$B$5,J47-ABS(ROC))),"")</f>
        <v/>
      </c>
      <c r="R47" s="81"/>
    </row>
    <row r="48" spans="1:18" ht="14.65" customHeight="1" x14ac:dyDescent="0.25">
      <c r="B48" s="79"/>
      <c r="C48" s="79"/>
      <c r="E48" s="14" t="s">
        <v>77</v>
      </c>
      <c r="F48" s="65" t="s">
        <v>57</v>
      </c>
      <c r="G48" s="66">
        <v>140</v>
      </c>
      <c r="H48" s="65" t="s">
        <v>58</v>
      </c>
      <c r="I48" s="65">
        <v>5</v>
      </c>
      <c r="J48" s="67">
        <v>696.5</v>
      </c>
      <c r="K48" s="31" t="str">
        <f>IF(OR(ISBLANK(a),ISBLANK(b),ISBLANK(ROC)),"",IF(I48&lt;=ABS(ROC)/b,"Yes","No"))</f>
        <v/>
      </c>
      <c r="L48" s="3" t="str">
        <f>IF(OR(ISBLANK(a),ISBLANK(b),ISBLANK(ROC)),"",IF($C$13=Ref!$B$4,"N/A",IF(J48&gt;ABS(ROC)+w,"Yes","No")))</f>
        <v/>
      </c>
      <c r="M48" s="3" t="str">
        <f>IF(OR(ISBLANK(a),ISBLANK(b),ISBLANK(ROC)),"",IF($C$14=Ref!$B$8,IF(a&lt;=G48,"Yes","No"),IF($C$14=Ref!$B$9,IF(4*J48^2/(4*(ROC/b)^2-1)+a^2&lt;=G48^2,"Yes","No"))))</f>
        <v/>
      </c>
      <c r="N48" s="3" t="str">
        <f>IF(OR(ISBLANK(a),ISBLANK(b),ISBLANK(ROC)),"",IF($C$18=Ref!$B$17,"No",IF($C$18=Ref!$B$18,"Yes")))</f>
        <v/>
      </c>
      <c r="O48" s="57" t="str">
        <f t="shared" si="1"/>
        <v/>
      </c>
      <c r="P48" s="50" t="str">
        <f t="shared" si="2"/>
        <v/>
      </c>
      <c r="Q48" s="46" t="str">
        <f>IF(P48="Yes",IF($C$13=Ref!$B$4,J48+ABS(ROC),IF($C$13=Ref!$B$5,J48-ABS(ROC))),"")</f>
        <v/>
      </c>
      <c r="R48" s="81"/>
    </row>
    <row r="49" spans="1:18" ht="14.65" customHeight="1" thickBot="1" x14ac:dyDescent="0.3">
      <c r="B49" s="79"/>
      <c r="C49" s="79"/>
      <c r="E49" s="19" t="s">
        <v>78</v>
      </c>
      <c r="F49" s="20" t="s">
        <v>57</v>
      </c>
      <c r="G49" s="21">
        <v>140</v>
      </c>
      <c r="H49" s="20" t="s">
        <v>58</v>
      </c>
      <c r="I49" s="20">
        <v>6</v>
      </c>
      <c r="J49" s="42">
        <v>837.1</v>
      </c>
      <c r="K49" s="33" t="str">
        <f>IF(OR(ISBLANK(a),ISBLANK(b),ISBLANK(ROC)),"",IF(I49&lt;=ABS(ROC)/b,"Yes","No"))</f>
        <v/>
      </c>
      <c r="L49" s="22" t="str">
        <f>IF(OR(ISBLANK(a),ISBLANK(b),ISBLANK(ROC)),"",IF($C$13=Ref!$B$4,"N/A",IF(J49&gt;ABS(ROC)+w,"Yes","No")))</f>
        <v/>
      </c>
      <c r="M49" s="22" t="str">
        <f>IF(OR(ISBLANK(a),ISBLANK(b),ISBLANK(ROC)),"",IF($C$14=Ref!$B$8,IF(a&lt;=G49,"Yes","No"),IF($C$14=Ref!$B$9,IF(4*J49^2/(4*(ROC/b)^2-1)+a^2&lt;=G49^2,"Yes","No"))))</f>
        <v/>
      </c>
      <c r="N49" s="22" t="str">
        <f>IF(OR(ISBLANK(a),ISBLANK(b),ISBLANK(ROC)),"",IF($C$18=Ref!$B$17,"No",IF($C$18=Ref!$B$18,"Yes")))</f>
        <v/>
      </c>
      <c r="O49" s="59" t="str">
        <f t="shared" si="1"/>
        <v/>
      </c>
      <c r="P49" s="52" t="str">
        <f t="shared" si="2"/>
        <v/>
      </c>
      <c r="Q49" s="53" t="str">
        <f>IF(P49="Yes",IF($C$13=Ref!$B$4,J49+ABS(ROC),IF($C$13=Ref!$B$5,J49-ABS(ROC))),"")</f>
        <v/>
      </c>
      <c r="R49" s="82"/>
    </row>
    <row r="50" spans="1:18" ht="15" customHeight="1" x14ac:dyDescent="0.25">
      <c r="E50" s="23"/>
      <c r="F50" s="23"/>
      <c r="G50" s="23"/>
      <c r="H50" s="23"/>
      <c r="I50" s="23"/>
      <c r="J50" s="23"/>
      <c r="K50" s="12"/>
      <c r="L50" s="12"/>
      <c r="M50" s="12"/>
      <c r="N50" s="12"/>
      <c r="O50" s="12"/>
      <c r="P50" s="12"/>
      <c r="R50" s="70"/>
    </row>
    <row r="51" spans="1:18" x14ac:dyDescent="0.25">
      <c r="R51" s="64"/>
    </row>
    <row r="52" spans="1:18" ht="7.5" customHeight="1" x14ac:dyDescent="0.45">
      <c r="B52" s="69"/>
      <c r="C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18" ht="24.65" customHeight="1" x14ac:dyDescent="0.45">
      <c r="A53" s="83" t="s">
        <v>79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</row>
    <row r="54" spans="1:18" ht="11.65" customHeight="1" x14ac:dyDescent="0.45">
      <c r="D54" s="69"/>
      <c r="I54" s="74"/>
      <c r="J54" s="74"/>
      <c r="R54" s="69"/>
    </row>
    <row r="55" spans="1:18" x14ac:dyDescent="0.25">
      <c r="J55" s="38"/>
    </row>
    <row r="61" spans="1:18" x14ac:dyDescent="0.25">
      <c r="I61" s="39"/>
    </row>
    <row r="62" spans="1:18" x14ac:dyDescent="0.25">
      <c r="I62" s="39"/>
      <c r="J62" s="40"/>
    </row>
  </sheetData>
  <sheetProtection algorithmName="SHA-512" hashValue="tarEQg7ixSUuWJ1nFBD4ytyypOlPzFKKYtHPy4Sbdxcwyc/yVFkBKeH3majoafk+vT4EAyIhjhWyHlZGxJgqOw==" saltValue="rre6VKawAUGSCBGvdwYH/w==" spinCount="100000" sheet="1" objects="1" scenarios="1"/>
  <protectedRanges>
    <protectedRange sqref="J56:J59 C13:C19" name="Editable"/>
  </protectedRanges>
  <dataConsolidate/>
  <mergeCells count="17">
    <mergeCell ref="D2:M2"/>
    <mergeCell ref="N2:R9"/>
    <mergeCell ref="D9:M9"/>
    <mergeCell ref="D3:M3"/>
    <mergeCell ref="D4:M4"/>
    <mergeCell ref="E5:M5"/>
    <mergeCell ref="E6:M6"/>
    <mergeCell ref="E7:M7"/>
    <mergeCell ref="D8:M8"/>
    <mergeCell ref="K11:P11"/>
    <mergeCell ref="I54:J54"/>
    <mergeCell ref="R13:R20"/>
    <mergeCell ref="R21:R28"/>
    <mergeCell ref="B29:C49"/>
    <mergeCell ref="R29:R49"/>
    <mergeCell ref="A53:R53"/>
    <mergeCell ref="B22:C26"/>
  </mergeCells>
  <conditionalFormatting sqref="C20">
    <cfRule type="expression" dxfId="2" priority="8">
      <formula>$C$20="YES"</formula>
    </cfRule>
  </conditionalFormatting>
  <conditionalFormatting sqref="E13:Q49">
    <cfRule type="expression" dxfId="1" priority="15">
      <formula>AND($P13="Yes",$O13&gt;2,$O13&lt;=4)</formula>
    </cfRule>
    <cfRule type="expression" dxfId="0" priority="16">
      <formula>AND($P13="Yes",$O13&gt;=1,$O13&lt;=2)</formula>
    </cfRule>
  </conditionalFormatting>
  <hyperlinks>
    <hyperlink ref="R13:R20" r:id="rId1" display="Phase-type 2&quot; cylinder CGHs are available ready to ship from Edmund optics. Order here!" xr:uid="{60864E74-9989-49F9-B93E-327CD76B9993}"/>
    <hyperlink ref="R21:R28" r:id="rId2" display="Phase-type 3&quot; cylinder CGHs are available ready to ship from AOM. Order here!" xr:uid="{E8946A4B-FDB1-4BC4-9CAE-1D80D7886CF1}"/>
    <hyperlink ref="A53:R53" r:id="rId3" display="Need more assistance selecting a CGH or ready to place an order? Reach out to AOM!" xr:uid="{DC9020C5-1DB0-45F6-876E-7EFC2334446D}"/>
    <hyperlink ref="N2:R9" r:id="rId4" display="Click here for more information about selecting a cylinder CGH! " xr:uid="{46FF37A7-404E-4F73-9FFC-00435C6E5B3A}"/>
    <hyperlink ref="R29:R49" r:id="rId5" display="All 4&quot; and 6&quot; cylinder CGHs are available through AOM by custom order." xr:uid="{98143A98-6E2A-4607-87D5-ED89B7E03ED5}"/>
  </hyperlinks>
  <pageMargins left="0.7" right="0.7" top="0.75" bottom="0.75" header="0.3" footer="0.3"/>
  <pageSetup orientation="portrait" r:id="rId6"/>
  <drawing r:id="rId7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F3EA4BE-D285-4C33-8139-9773666C1E58}">
          <x14:formula1>
            <xm:f>Ref!$B$4:$B$5</xm:f>
          </x14:formula1>
          <xm:sqref>C13</xm:sqref>
        </x14:dataValidation>
        <x14:dataValidation type="list" allowBlank="1" showInputMessage="1" showErrorMessage="1" xr:uid="{015B9B8F-7B7A-41C1-9FE1-7F93274CCA73}">
          <x14:formula1>
            <xm:f>Ref!$B$17:$B$18</xm:f>
          </x14:formula1>
          <xm:sqref>C18</xm:sqref>
        </x14:dataValidation>
        <x14:dataValidation type="list" allowBlank="1" showInputMessage="1" showErrorMessage="1" xr:uid="{F309FF79-6B42-4C16-B401-D85C391AC802}">
          <x14:formula1>
            <xm:f>Ref!$B$8:$B$9</xm:f>
          </x14:formula1>
          <xm:sqref>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0DFDF-0D59-46AB-B34F-E39A910E568D}">
  <dimension ref="B1:V38"/>
  <sheetViews>
    <sheetView showGridLines="0" zoomScale="70" zoomScaleNormal="70" workbookViewId="0">
      <selection activeCell="P19" sqref="P19:V38"/>
    </sheetView>
  </sheetViews>
  <sheetFormatPr defaultRowHeight="14.5" x14ac:dyDescent="0.35"/>
  <cols>
    <col min="2" max="2" width="19" customWidth="1"/>
  </cols>
  <sheetData>
    <row r="1" spans="2:22" x14ac:dyDescent="0.35">
      <c r="P1" s="102" t="e" vm="2">
        <v>#VALUE!</v>
      </c>
      <c r="Q1" s="102"/>
      <c r="R1" s="102"/>
      <c r="S1" s="102"/>
      <c r="T1" s="102"/>
      <c r="U1" s="102"/>
      <c r="V1" s="102"/>
    </row>
    <row r="2" spans="2:22" x14ac:dyDescent="0.35">
      <c r="P2" s="102"/>
      <c r="Q2" s="102"/>
      <c r="R2" s="102"/>
      <c r="S2" s="102"/>
      <c r="T2" s="102"/>
      <c r="U2" s="102"/>
      <c r="V2" s="102"/>
    </row>
    <row r="3" spans="2:22" x14ac:dyDescent="0.35">
      <c r="B3" s="1" t="s">
        <v>24</v>
      </c>
      <c r="P3" s="102"/>
      <c r="Q3" s="102"/>
      <c r="R3" s="102"/>
      <c r="S3" s="102"/>
      <c r="T3" s="102"/>
      <c r="U3" s="102"/>
      <c r="V3" s="102"/>
    </row>
    <row r="4" spans="2:22" x14ac:dyDescent="0.35">
      <c r="B4" t="s">
        <v>25</v>
      </c>
      <c r="P4" s="102"/>
      <c r="Q4" s="102"/>
      <c r="R4" s="102"/>
      <c r="S4" s="102"/>
      <c r="T4" s="102"/>
      <c r="U4" s="102"/>
      <c r="V4" s="102"/>
    </row>
    <row r="5" spans="2:22" x14ac:dyDescent="0.35">
      <c r="B5" t="s">
        <v>80</v>
      </c>
      <c r="P5" s="102"/>
      <c r="Q5" s="102"/>
      <c r="R5" s="102"/>
      <c r="S5" s="102"/>
      <c r="T5" s="102"/>
      <c r="U5" s="102"/>
      <c r="V5" s="102"/>
    </row>
    <row r="6" spans="2:22" x14ac:dyDescent="0.35">
      <c r="P6" s="102"/>
      <c r="Q6" s="102"/>
      <c r="R6" s="102"/>
      <c r="S6" s="102"/>
      <c r="T6" s="102"/>
      <c r="U6" s="102"/>
      <c r="V6" s="102"/>
    </row>
    <row r="7" spans="2:22" x14ac:dyDescent="0.35">
      <c r="B7" t="s">
        <v>30</v>
      </c>
      <c r="P7" s="102"/>
      <c r="Q7" s="102"/>
      <c r="R7" s="102"/>
      <c r="S7" s="102"/>
      <c r="T7" s="102"/>
      <c r="U7" s="102"/>
      <c r="V7" s="102"/>
    </row>
    <row r="8" spans="2:22" x14ac:dyDescent="0.35">
      <c r="B8" t="s">
        <v>31</v>
      </c>
      <c r="P8" s="102"/>
      <c r="Q8" s="102"/>
      <c r="R8" s="102"/>
      <c r="S8" s="102"/>
      <c r="T8" s="102"/>
      <c r="U8" s="102"/>
      <c r="V8" s="102"/>
    </row>
    <row r="9" spans="2:22" x14ac:dyDescent="0.35">
      <c r="B9" t="s">
        <v>81</v>
      </c>
      <c r="P9" s="102"/>
      <c r="Q9" s="102"/>
      <c r="R9" s="102"/>
      <c r="S9" s="102"/>
      <c r="T9" s="102"/>
      <c r="U9" s="102"/>
      <c r="V9" s="102"/>
    </row>
    <row r="10" spans="2:22" x14ac:dyDescent="0.35">
      <c r="B10" t="s">
        <v>82</v>
      </c>
      <c r="P10" s="102"/>
      <c r="Q10" s="102"/>
      <c r="R10" s="102"/>
      <c r="S10" s="102"/>
      <c r="T10" s="102"/>
      <c r="U10" s="102"/>
      <c r="V10" s="102"/>
    </row>
    <row r="11" spans="2:22" x14ac:dyDescent="0.35">
      <c r="P11" s="102"/>
      <c r="Q11" s="102"/>
      <c r="R11" s="102"/>
      <c r="S11" s="102"/>
      <c r="T11" s="102"/>
      <c r="U11" s="102"/>
      <c r="V11" s="102"/>
    </row>
    <row r="12" spans="2:22" x14ac:dyDescent="0.35">
      <c r="B12" t="s">
        <v>83</v>
      </c>
      <c r="P12" s="102"/>
      <c r="Q12" s="102"/>
      <c r="R12" s="102"/>
      <c r="S12" s="102"/>
      <c r="T12" s="102"/>
      <c r="U12" s="102"/>
      <c r="V12" s="102"/>
    </row>
    <row r="13" spans="2:22" x14ac:dyDescent="0.35">
      <c r="B13" t="s">
        <v>84</v>
      </c>
      <c r="P13" s="102"/>
      <c r="Q13" s="102"/>
      <c r="R13" s="102"/>
      <c r="S13" s="102"/>
      <c r="T13" s="102"/>
      <c r="U13" s="102"/>
      <c r="V13" s="102"/>
    </row>
    <row r="14" spans="2:22" x14ac:dyDescent="0.35">
      <c r="B14" t="s">
        <v>85</v>
      </c>
      <c r="P14" s="102"/>
      <c r="Q14" s="102"/>
      <c r="R14" s="102"/>
      <c r="S14" s="102"/>
      <c r="T14" s="102"/>
      <c r="U14" s="102"/>
      <c r="V14" s="102"/>
    </row>
    <row r="15" spans="2:22" x14ac:dyDescent="0.35">
      <c r="P15" s="102"/>
      <c r="Q15" s="102"/>
      <c r="R15" s="102"/>
      <c r="S15" s="102"/>
      <c r="T15" s="102"/>
      <c r="U15" s="102"/>
      <c r="V15" s="102"/>
    </row>
    <row r="16" spans="2:22" x14ac:dyDescent="0.35">
      <c r="B16" t="s">
        <v>86</v>
      </c>
      <c r="P16" s="102"/>
      <c r="Q16" s="102"/>
      <c r="R16" s="102"/>
      <c r="S16" s="102"/>
      <c r="T16" s="102"/>
      <c r="U16" s="102"/>
      <c r="V16" s="102"/>
    </row>
    <row r="17" spans="2:22" x14ac:dyDescent="0.35">
      <c r="B17" t="s">
        <v>40</v>
      </c>
      <c r="P17" s="102"/>
      <c r="Q17" s="102"/>
      <c r="R17" s="102"/>
      <c r="S17" s="102"/>
      <c r="T17" s="102"/>
      <c r="U17" s="102"/>
      <c r="V17" s="102"/>
    </row>
    <row r="18" spans="2:22" x14ac:dyDescent="0.35">
      <c r="B18" s="29" t="s">
        <v>87</v>
      </c>
      <c r="P18" s="102"/>
      <c r="Q18" s="102"/>
      <c r="R18" s="102"/>
      <c r="S18" s="102"/>
      <c r="T18" s="102"/>
      <c r="U18" s="102"/>
      <c r="V18" s="102"/>
    </row>
    <row r="19" spans="2:22" x14ac:dyDescent="0.35">
      <c r="P19" s="102" t="e" vm="3">
        <v>#VALUE!</v>
      </c>
      <c r="Q19" s="102"/>
      <c r="R19" s="102"/>
      <c r="S19" s="102"/>
      <c r="T19" s="102"/>
      <c r="U19" s="102"/>
      <c r="V19" s="102"/>
    </row>
    <row r="20" spans="2:22" x14ac:dyDescent="0.35">
      <c r="P20" s="102"/>
      <c r="Q20" s="102"/>
      <c r="R20" s="102"/>
      <c r="S20" s="102"/>
      <c r="T20" s="102"/>
      <c r="U20" s="102"/>
      <c r="V20" s="102"/>
    </row>
    <row r="21" spans="2:22" x14ac:dyDescent="0.35">
      <c r="P21" s="102"/>
      <c r="Q21" s="102"/>
      <c r="R21" s="102"/>
      <c r="S21" s="102"/>
      <c r="T21" s="102"/>
      <c r="U21" s="102"/>
      <c r="V21" s="102"/>
    </row>
    <row r="22" spans="2:22" x14ac:dyDescent="0.35">
      <c r="P22" s="102"/>
      <c r="Q22" s="102"/>
      <c r="R22" s="102"/>
      <c r="S22" s="102"/>
      <c r="T22" s="102"/>
      <c r="U22" s="102"/>
      <c r="V22" s="102"/>
    </row>
    <row r="23" spans="2:22" x14ac:dyDescent="0.35">
      <c r="P23" s="102"/>
      <c r="Q23" s="102"/>
      <c r="R23" s="102"/>
      <c r="S23" s="102"/>
      <c r="T23" s="102"/>
      <c r="U23" s="102"/>
      <c r="V23" s="102"/>
    </row>
    <row r="24" spans="2:22" x14ac:dyDescent="0.35">
      <c r="P24" s="102"/>
      <c r="Q24" s="102"/>
      <c r="R24" s="102"/>
      <c r="S24" s="102"/>
      <c r="T24" s="102"/>
      <c r="U24" s="102"/>
      <c r="V24" s="102"/>
    </row>
    <row r="25" spans="2:22" x14ac:dyDescent="0.35">
      <c r="P25" s="102"/>
      <c r="Q25" s="102"/>
      <c r="R25" s="102"/>
      <c r="S25" s="102"/>
      <c r="T25" s="102"/>
      <c r="U25" s="102"/>
      <c r="V25" s="102"/>
    </row>
    <row r="26" spans="2:22" x14ac:dyDescent="0.35">
      <c r="P26" s="102"/>
      <c r="Q26" s="102"/>
      <c r="R26" s="102"/>
      <c r="S26" s="102"/>
      <c r="T26" s="102"/>
      <c r="U26" s="102"/>
      <c r="V26" s="102"/>
    </row>
    <row r="27" spans="2:22" x14ac:dyDescent="0.35">
      <c r="P27" s="102"/>
      <c r="Q27" s="102"/>
      <c r="R27" s="102"/>
      <c r="S27" s="102"/>
      <c r="T27" s="102"/>
      <c r="U27" s="102"/>
      <c r="V27" s="102"/>
    </row>
    <row r="28" spans="2:22" x14ac:dyDescent="0.35">
      <c r="P28" s="102"/>
      <c r="Q28" s="102"/>
      <c r="R28" s="102"/>
      <c r="S28" s="102"/>
      <c r="T28" s="102"/>
      <c r="U28" s="102"/>
      <c r="V28" s="102"/>
    </row>
    <row r="29" spans="2:22" x14ac:dyDescent="0.35">
      <c r="P29" s="102"/>
      <c r="Q29" s="102"/>
      <c r="R29" s="102"/>
      <c r="S29" s="102"/>
      <c r="T29" s="102"/>
      <c r="U29" s="102"/>
      <c r="V29" s="102"/>
    </row>
    <row r="30" spans="2:22" x14ac:dyDescent="0.35">
      <c r="P30" s="102"/>
      <c r="Q30" s="102"/>
      <c r="R30" s="102"/>
      <c r="S30" s="102"/>
      <c r="T30" s="102"/>
      <c r="U30" s="102"/>
      <c r="V30" s="102"/>
    </row>
    <row r="31" spans="2:22" x14ac:dyDescent="0.35">
      <c r="P31" s="102"/>
      <c r="Q31" s="102"/>
      <c r="R31" s="102"/>
      <c r="S31" s="102"/>
      <c r="T31" s="102"/>
      <c r="U31" s="102"/>
      <c r="V31" s="102"/>
    </row>
    <row r="32" spans="2:22" x14ac:dyDescent="0.35">
      <c r="P32" s="102"/>
      <c r="Q32" s="102"/>
      <c r="R32" s="102"/>
      <c r="S32" s="102"/>
      <c r="T32" s="102"/>
      <c r="U32" s="102"/>
      <c r="V32" s="102"/>
    </row>
    <row r="33" spans="16:22" x14ac:dyDescent="0.35">
      <c r="P33" s="102"/>
      <c r="Q33" s="102"/>
      <c r="R33" s="102"/>
      <c r="S33" s="102"/>
      <c r="T33" s="102"/>
      <c r="U33" s="102"/>
      <c r="V33" s="102"/>
    </row>
    <row r="34" spans="16:22" x14ac:dyDescent="0.35">
      <c r="P34" s="102"/>
      <c r="Q34" s="102"/>
      <c r="R34" s="102"/>
      <c r="S34" s="102"/>
      <c r="T34" s="102"/>
      <c r="U34" s="102"/>
      <c r="V34" s="102"/>
    </row>
    <row r="35" spans="16:22" x14ac:dyDescent="0.35">
      <c r="P35" s="102"/>
      <c r="Q35" s="102"/>
      <c r="R35" s="102"/>
      <c r="S35" s="102"/>
      <c r="T35" s="102"/>
      <c r="U35" s="102"/>
      <c r="V35" s="102"/>
    </row>
    <row r="36" spans="16:22" x14ac:dyDescent="0.35">
      <c r="P36" s="102"/>
      <c r="Q36" s="102"/>
      <c r="R36" s="102"/>
      <c r="S36" s="102"/>
      <c r="T36" s="102"/>
      <c r="U36" s="102"/>
      <c r="V36" s="102"/>
    </row>
    <row r="37" spans="16:22" x14ac:dyDescent="0.35">
      <c r="P37" s="102"/>
      <c r="Q37" s="102"/>
      <c r="R37" s="102"/>
      <c r="S37" s="102"/>
      <c r="T37" s="102"/>
      <c r="U37" s="102"/>
      <c r="V37" s="102"/>
    </row>
    <row r="38" spans="16:22" x14ac:dyDescent="0.35">
      <c r="P38" s="102"/>
      <c r="Q38" s="102"/>
      <c r="R38" s="102"/>
      <c r="S38" s="102"/>
      <c r="T38" s="102"/>
      <c r="U38" s="102"/>
      <c r="V38" s="102"/>
    </row>
  </sheetData>
  <mergeCells count="2">
    <mergeCell ref="P1:V18"/>
    <mergeCell ref="P19:V38"/>
  </mergeCells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26d253-e965-4774-8aae-98611b7af36b" xsi:nil="true"/>
    <lcf76f155ced4ddcb4097134ff3c332f xmlns="85819215-6479-4a8e-baa9-671ca08b4c7f">
      <Terms xmlns="http://schemas.microsoft.com/office/infopath/2007/PartnerControls"/>
    </lcf76f155ced4ddcb4097134ff3c332f>
    <_Flow_SignoffStatus xmlns="85819215-6479-4a8e-baa9-671ca08b4c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882C79092A2C438ECBBEEF64A98C16" ma:contentTypeVersion="19" ma:contentTypeDescription="Create a new document." ma:contentTypeScope="" ma:versionID="08345a37cbe53b394d524649578e0d7f">
  <xsd:schema xmlns:xsd="http://www.w3.org/2001/XMLSchema" xmlns:xs="http://www.w3.org/2001/XMLSchema" xmlns:p="http://schemas.microsoft.com/office/2006/metadata/properties" xmlns:ns2="85819215-6479-4a8e-baa9-671ca08b4c7f" xmlns:ns3="b626d253-e965-4774-8aae-98611b7af36b" targetNamespace="http://schemas.microsoft.com/office/2006/metadata/properties" ma:root="true" ma:fieldsID="c9ca68a36465bed6ab3e341c7cd5cbc4" ns2:_="" ns3:_="">
    <xsd:import namespace="85819215-6479-4a8e-baa9-671ca08b4c7f"/>
    <xsd:import namespace="b626d253-e965-4774-8aae-98611b7af3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819215-6479-4a8e-baa9-671ca08b4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b5c9398-c597-468e-9f07-44f35b1dd6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26d253-e965-4774-8aae-98611b7af36b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acef7913-3d0e-49d6-b5b8-2259c4610a8e}" ma:internalName="TaxCatchAll" ma:showField="CatchAllData" ma:web="b626d253-e965-4774-8aae-98611b7af3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C0C6D5-F582-442D-9380-173D63AED2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A5CF7E-D294-4899-A45B-5E348F477545}">
  <ds:schemaRefs>
    <ds:schemaRef ds:uri="http://schemas.microsoft.com/office/2006/metadata/properties"/>
    <ds:schemaRef ds:uri="http://schemas.microsoft.com/office/infopath/2007/PartnerControls"/>
    <ds:schemaRef ds:uri="b626d253-e965-4774-8aae-98611b7af36b"/>
    <ds:schemaRef ds:uri="85819215-6479-4a8e-baa9-671ca08b4c7f"/>
  </ds:schemaRefs>
</ds:datastoreItem>
</file>

<file path=customXml/itemProps3.xml><?xml version="1.0" encoding="utf-8"?>
<ds:datastoreItem xmlns:ds="http://schemas.openxmlformats.org/officeDocument/2006/customXml" ds:itemID="{1E39F959-EDD1-4D7C-99FE-564A2335D1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819215-6479-4a8e-baa9-671ca08b4c7f"/>
    <ds:schemaRef ds:uri="b626d253-e965-4774-8aae-98611b7af3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CALCULATOR</vt:lpstr>
      <vt:lpstr>Ref</vt:lpstr>
      <vt:lpstr>a</vt:lpstr>
      <vt:lpstr>b</vt:lpstr>
      <vt:lpstr>ROC</vt:lpstr>
      <vt:lpstr>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LT1.AOM</dc:creator>
  <cp:keywords/>
  <dc:description/>
  <cp:lastModifiedBy>Christine Muccianti</cp:lastModifiedBy>
  <cp:revision/>
  <dcterms:created xsi:type="dcterms:W3CDTF">2021-08-16T17:06:51Z</dcterms:created>
  <dcterms:modified xsi:type="dcterms:W3CDTF">2024-02-28T22:17:14Z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0x01010084882C79092A2C438ECBBEEF64A98C16</vt:lpwstr>
  </property>
  <property fmtid="{D5CDD505-2E9C-101B-9397-08002B2CF9AE}" pid="3" name="MediaServiceImageTags">
    <vt:lpwstr/>
  </property>
</Properties>
</file>